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F\Desktop\PtX_local\Aktuelle Tools\Finale\"/>
    </mc:Choice>
  </mc:AlternateContent>
  <xr:revisionPtr revIDLastSave="0" documentId="13_ncr:1_{60FB78FB-AB51-48CA-B962-8251ED65DD2B}" xr6:coauthVersionLast="47" xr6:coauthVersionMax="47" xr10:uidLastSave="{00000000-0000-0000-0000-000000000000}"/>
  <bookViews>
    <workbookView xWindow="57480" yWindow="-120" windowWidth="29040" windowHeight="17520" xr2:uid="{00000000-000D-0000-FFFF-FFFF00000000}"/>
  </bookViews>
  <sheets>
    <sheet name="Instructions" sheetId="1" r:id="rId1"/>
    <sheet name="Project Data" sheetId="2" r:id="rId2"/>
    <sheet name="EU RFNBO" sheetId="3" r:id="rId3"/>
    <sheet name="EU CBAM" sheetId="4" r:id="rId4"/>
    <sheet name="IMO" sheetId="5" r:id="rId5"/>
    <sheet name="Results" sheetId="6" r:id="rId6"/>
    <sheet name="Emission Factor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3" l="1"/>
  <c r="G37" i="3"/>
  <c r="L41" i="5"/>
  <c r="D2" i="6" l="1"/>
  <c r="C2" i="6"/>
  <c r="B2" i="6"/>
  <c r="G35" i="5"/>
  <c r="I35" i="5" s="1"/>
  <c r="D35" i="5"/>
  <c r="L33" i="5"/>
  <c r="E31" i="5"/>
  <c r="D31" i="5"/>
  <c r="G31" i="5" s="1"/>
  <c r="I31" i="5" s="1"/>
  <c r="E30" i="5"/>
  <c r="D30" i="5"/>
  <c r="G30" i="5" s="1"/>
  <c r="I30" i="5" s="1"/>
  <c r="E29" i="5"/>
  <c r="D29" i="5"/>
  <c r="G29" i="5" s="1"/>
  <c r="I29" i="5" s="1"/>
  <c r="E28" i="5"/>
  <c r="D28" i="5"/>
  <c r="G28" i="5" s="1"/>
  <c r="I28" i="5" s="1"/>
  <c r="E27" i="5"/>
  <c r="D27" i="5"/>
  <c r="G27" i="5" s="1"/>
  <c r="I27" i="5" s="1"/>
  <c r="E26" i="5"/>
  <c r="D26" i="5"/>
  <c r="G26" i="5" s="1"/>
  <c r="I26" i="5" s="1"/>
  <c r="E25" i="5"/>
  <c r="D25" i="5"/>
  <c r="G25" i="5" s="1"/>
  <c r="I25" i="5" s="1"/>
  <c r="E24" i="5"/>
  <c r="D24" i="5"/>
  <c r="G24" i="5" s="1"/>
  <c r="I24" i="5" s="1"/>
  <c r="E23" i="5"/>
  <c r="D23" i="5"/>
  <c r="G23" i="5" s="1"/>
  <c r="I23" i="5" s="1"/>
  <c r="E22" i="5"/>
  <c r="D22" i="5"/>
  <c r="G22" i="5" s="1"/>
  <c r="I22" i="5" s="1"/>
  <c r="E21" i="5"/>
  <c r="D21" i="5"/>
  <c r="G21" i="5" s="1"/>
  <c r="I21" i="5" s="1"/>
  <c r="E20" i="5"/>
  <c r="D20" i="5"/>
  <c r="G20" i="5" s="1"/>
  <c r="I20" i="5" s="1"/>
  <c r="E19" i="5"/>
  <c r="D19" i="5"/>
  <c r="G19" i="5" s="1"/>
  <c r="I19" i="5" s="1"/>
  <c r="I18" i="5"/>
  <c r="E18" i="5"/>
  <c r="D18" i="5"/>
  <c r="G17" i="5"/>
  <c r="I17" i="5" s="1"/>
  <c r="E17" i="5"/>
  <c r="D17" i="5"/>
  <c r="I16" i="5"/>
  <c r="E16" i="5"/>
  <c r="D16" i="5"/>
  <c r="G15" i="5"/>
  <c r="I15" i="5" s="1"/>
  <c r="G14" i="5"/>
  <c r="I14" i="5" s="1"/>
  <c r="B8" i="5"/>
  <c r="E15" i="5" s="1"/>
  <c r="E25" i="4"/>
  <c r="D25" i="4"/>
  <c r="E24" i="4"/>
  <c r="D24" i="4"/>
  <c r="E23" i="4"/>
  <c r="D23" i="4"/>
  <c r="L23" i="4" s="1"/>
  <c r="E22" i="4"/>
  <c r="D22" i="4"/>
  <c r="E21" i="4"/>
  <c r="D21" i="4"/>
  <c r="G21" i="4" s="1"/>
  <c r="I21" i="4" s="1"/>
  <c r="E20" i="4"/>
  <c r="D20" i="4"/>
  <c r="G20" i="4" s="1"/>
  <c r="I20" i="4" s="1"/>
  <c r="E19" i="4"/>
  <c r="D19" i="4"/>
  <c r="G19" i="4" s="1"/>
  <c r="I19" i="4" s="1"/>
  <c r="E18" i="4"/>
  <c r="D18" i="4"/>
  <c r="G18" i="4" s="1"/>
  <c r="I18" i="4" s="1"/>
  <c r="I17" i="4"/>
  <c r="E17" i="4"/>
  <c r="D17" i="4"/>
  <c r="G16" i="4"/>
  <c r="I16" i="4" s="1"/>
  <c r="E16" i="4"/>
  <c r="D16" i="4"/>
  <c r="I15" i="4"/>
  <c r="E15" i="4"/>
  <c r="D15" i="4"/>
  <c r="I14" i="4"/>
  <c r="I13" i="4"/>
  <c r="B8" i="4"/>
  <c r="I37" i="3"/>
  <c r="D37" i="3"/>
  <c r="L36" i="3"/>
  <c r="E35" i="3"/>
  <c r="D35" i="3"/>
  <c r="G35" i="3" s="1"/>
  <c r="I35" i="3" s="1"/>
  <c r="E34" i="3"/>
  <c r="D34" i="3"/>
  <c r="G34" i="3" s="1"/>
  <c r="I34" i="3" s="1"/>
  <c r="E33" i="3"/>
  <c r="D33" i="3"/>
  <c r="G33" i="3" s="1"/>
  <c r="I33" i="3" s="1"/>
  <c r="E32" i="3"/>
  <c r="D32" i="3"/>
  <c r="G32" i="3" s="1"/>
  <c r="I32" i="3" s="1"/>
  <c r="E27" i="3"/>
  <c r="D27" i="3"/>
  <c r="G27" i="3" s="1"/>
  <c r="I27" i="3" s="1"/>
  <c r="E26" i="3"/>
  <c r="D26" i="3"/>
  <c r="G26" i="3" s="1"/>
  <c r="I26" i="3" s="1"/>
  <c r="E25" i="3"/>
  <c r="D25" i="3"/>
  <c r="G25" i="3" s="1"/>
  <c r="I25" i="3" s="1"/>
  <c r="E24" i="3"/>
  <c r="D24" i="3"/>
  <c r="G24" i="3" s="1"/>
  <c r="I24" i="3" s="1"/>
  <c r="E23" i="3"/>
  <c r="D23" i="3"/>
  <c r="G23" i="3" s="1"/>
  <c r="I23" i="3" s="1"/>
  <c r="E22" i="3"/>
  <c r="D22" i="3"/>
  <c r="G22" i="3" s="1"/>
  <c r="I22" i="3" s="1"/>
  <c r="E21" i="3"/>
  <c r="D21" i="3"/>
  <c r="G21" i="3" s="1"/>
  <c r="I21" i="3" s="1"/>
  <c r="E20" i="3"/>
  <c r="D20" i="3"/>
  <c r="G20" i="3" s="1"/>
  <c r="I20" i="3" s="1"/>
  <c r="E19" i="3"/>
  <c r="D19" i="3"/>
  <c r="G19" i="3" s="1"/>
  <c r="I19" i="3" s="1"/>
  <c r="I18" i="3"/>
  <c r="E18" i="3"/>
  <c r="D18" i="3"/>
  <c r="G17" i="3"/>
  <c r="I17" i="3" s="1"/>
  <c r="E17" i="3"/>
  <c r="D17" i="3"/>
  <c r="I16" i="3"/>
  <c r="E16" i="3"/>
  <c r="D16" i="3"/>
  <c r="G15" i="3"/>
  <c r="I15" i="3" s="1"/>
  <c r="G14" i="3"/>
  <c r="I14" i="3" s="1"/>
  <c r="B8" i="3"/>
  <c r="E14" i="3" s="1"/>
  <c r="B74" i="2"/>
  <c r="B76" i="2" s="1"/>
  <c r="B34" i="2"/>
  <c r="B28" i="2"/>
  <c r="L19" i="4" l="1"/>
  <c r="L20" i="4"/>
  <c r="L15" i="4"/>
  <c r="L25" i="4"/>
  <c r="G25" i="4"/>
  <c r="I25" i="4" s="1"/>
  <c r="G24" i="4"/>
  <c r="I24" i="4" s="1"/>
  <c r="L24" i="4"/>
  <c r="L22" i="4"/>
  <c r="G22" i="4"/>
  <c r="I22" i="4" s="1"/>
  <c r="L17" i="4"/>
  <c r="E14" i="4"/>
  <c r="E13" i="4"/>
  <c r="L14" i="4"/>
  <c r="E15" i="3"/>
  <c r="E37" i="3"/>
  <c r="L16" i="4"/>
  <c r="L21" i="4"/>
  <c r="G23" i="4"/>
  <c r="I23" i="4" s="1"/>
  <c r="E14" i="5"/>
  <c r="B9" i="5"/>
  <c r="L18" i="4"/>
  <c r="E35" i="5"/>
  <c r="B9" i="3"/>
  <c r="L13" i="4"/>
  <c r="L37" i="3" l="1"/>
  <c r="L27" i="4"/>
  <c r="C4" i="6" s="1"/>
  <c r="C5" i="6" s="1"/>
  <c r="L22" i="3"/>
  <c r="L17" i="3"/>
  <c r="L20" i="3"/>
  <c r="L33" i="3"/>
  <c r="L15" i="3"/>
  <c r="L14" i="3"/>
  <c r="L24" i="3"/>
  <c r="L29" i="3"/>
  <c r="L32" i="3"/>
  <c r="L23" i="3"/>
  <c r="L34" i="3"/>
  <c r="L30" i="3"/>
  <c r="L26" i="3"/>
  <c r="L18" i="3"/>
  <c r="L35" i="3"/>
  <c r="L27" i="3"/>
  <c r="L19" i="3"/>
  <c r="L25" i="3"/>
  <c r="L21" i="3"/>
  <c r="L16" i="3"/>
  <c r="L26" i="5"/>
  <c r="L18" i="5"/>
  <c r="L28" i="5"/>
  <c r="L20" i="5"/>
  <c r="L29" i="5"/>
  <c r="L21" i="5"/>
  <c r="L16" i="5"/>
  <c r="L14" i="5"/>
  <c r="L24" i="5"/>
  <c r="L15" i="5"/>
  <c r="L27" i="5"/>
  <c r="L19" i="5"/>
  <c r="L25" i="5"/>
  <c r="L32" i="5"/>
  <c r="L34" i="5"/>
  <c r="L30" i="5"/>
  <c r="L22" i="5"/>
  <c r="L17" i="5"/>
  <c r="L35" i="5"/>
  <c r="L37" i="5" s="1"/>
  <c r="L31" i="5"/>
  <c r="L23" i="5"/>
  <c r="L28" i="3" l="1"/>
  <c r="L31" i="3" s="1"/>
  <c r="L40" i="3" s="1"/>
  <c r="B5" i="6" s="1"/>
  <c r="L36" i="5"/>
  <c r="L39" i="5" s="1"/>
  <c r="D5" i="6" s="1"/>
  <c r="L40" i="5" l="1"/>
  <c r="D4" i="6" s="1"/>
  <c r="L42" i="5"/>
  <c r="L43" i="3"/>
  <c r="L44" i="3" s="1"/>
  <c r="B7" i="6" s="1"/>
  <c r="L41" i="3"/>
  <c r="B4" i="6" s="1"/>
</calcChain>
</file>

<file path=xl/sharedStrings.xml><?xml version="1.0" encoding="utf-8"?>
<sst xmlns="http://schemas.openxmlformats.org/spreadsheetml/2006/main" count="1209" uniqueCount="599">
  <si>
    <t>GHG Intensity Calculator — Project Data</t>
  </si>
  <si>
    <t>Parameter</t>
  </si>
  <si>
    <t>Value</t>
  </si>
  <si>
    <t>Unit</t>
  </si>
  <si>
    <t>Type of input</t>
  </si>
  <si>
    <t>Data source / Note</t>
  </si>
  <si>
    <t>Additional information</t>
  </si>
  <si>
    <t>General Project Information</t>
  </si>
  <si>
    <t>Project Name</t>
  </si>
  <si>
    <t>—</t>
  </si>
  <si>
    <t>User</t>
  </si>
  <si>
    <t>Enter project name</t>
  </si>
  <si>
    <t>Project Location (Country)</t>
  </si>
  <si>
    <t>Country hosting the H₂ production plant (informational).</t>
  </si>
  <si>
    <t>Calendar Year of Assessment</t>
  </si>
  <si>
    <t>year</t>
  </si>
  <si>
    <t>Single calendar year for the assessment (e.g. 2026).</t>
  </si>
  <si>
    <t>Include EU RFNBO</t>
  </si>
  <si>
    <t>Please select</t>
  </si>
  <si>
    <t>Yes/No — include results of this methodology in the Results sheet.</t>
  </si>
  <si>
    <t>Include EU CBAM</t>
  </si>
  <si>
    <t>Include IMO</t>
  </si>
  <si>
    <t>Ammonia Production</t>
  </si>
  <si>
    <t>Annual NH₃ Output</t>
  </si>
  <si>
    <t>tNH₃/yr</t>
  </si>
  <si>
    <t>Annual ammonia production output. Referenced by all methodology sheets as denominator.</t>
  </si>
  <si>
    <t>NH₃ Purity</t>
  </si>
  <si>
    <t>% (mass)</t>
  </si>
  <si>
    <t>Purity by mass (e.g. ≥99.5% typical for anhydrous ammonia; informational).</t>
  </si>
  <si>
    <t>Operating Hours</t>
  </si>
  <si>
    <t>h/yr</t>
  </si>
  <si>
    <t>Full-load equivalent hours in the assessment year (informational).</t>
  </si>
  <si>
    <t>H₂ Supply Mode</t>
  </si>
  <si>
    <t>H₂ Consumption Rate</t>
  </si>
  <si>
    <t>kgH₂/kgNH₃</t>
  </si>
  <si>
    <t>Stoichiometric 0.1776; typical +5-10% margin for purge/loss. Process constant.</t>
  </si>
  <si>
    <t>H₂ Merchant Emission Factor (as supplied)</t>
  </si>
  <si>
    <t>gCO₂e/kgH₂</t>
  </si>
  <si>
    <t>Merchant branch only — user cites source (RFNBO cert, hydrogen tool result). Ignored under On-site electrolysis.</t>
  </si>
  <si>
    <t>N₂ Supply Mode</t>
  </si>
  <si>
    <t>N₂ Consumption Rate</t>
  </si>
  <si>
    <t>kgN₂/kgNH₃</t>
  </si>
  <si>
    <t>Stoichiometric 0.8224; typical +5-10% margin for purge/loss. Process constant.</t>
  </si>
  <si>
    <t>N₂ Merchant Emission Factor (as supplied)</t>
  </si>
  <si>
    <t>Merchant branch only — user to cites source</t>
  </si>
  <si>
    <t>Electricity (electrolysis/H2 production only)</t>
  </si>
  <si>
    <t>Grid Electricity Consumption</t>
  </si>
  <si>
    <t>MWh/yr</t>
  </si>
  <si>
    <t>Electricity from the grid</t>
  </si>
  <si>
    <t>Renewable Electricity Consumption</t>
  </si>
  <si>
    <t>Dedicated renewable electricity or electricity that is deemed renewable as per the applied methodologies</t>
  </si>
  <si>
    <t>Other Electricity Consumption</t>
  </si>
  <si>
    <t>Other sources (if any)</t>
  </si>
  <si>
    <t>Total Electricity Consumption</t>
  </si>
  <si>
    <t>Calculated</t>
  </si>
  <si>
    <t>Sum of above (only for information)</t>
  </si>
  <si>
    <t>Electricity (whole plant — ASU + Haber-Bosch, etc. except electrolysis/hydrogen production)</t>
  </si>
  <si>
    <t>Water Input Volume (including hydrogen production)</t>
  </si>
  <si>
    <t>Water Input Volume</t>
  </si>
  <si>
    <t>m³/yr</t>
  </si>
  <si>
    <t>Total water consumed</t>
  </si>
  <si>
    <t>Water Source / Type</t>
  </si>
  <si>
    <t>User/Site/Design</t>
  </si>
  <si>
    <t>Dropdown: pick from list; select "Other" if not listed and enter your own EF in the EF cells on the methodology sheets accordingly.</t>
  </si>
  <si>
    <t>Steam / Heat</t>
  </si>
  <si>
    <t>Steam Consumption</t>
  </si>
  <si>
    <t>MJ/yr</t>
  </si>
  <si>
    <t>Process steam/heat from external sources</t>
  </si>
  <si>
    <t>Steam Source</t>
  </si>
  <si>
    <t>(Process) Fuels</t>
  </si>
  <si>
    <t>Fuel 1 — Type</t>
  </si>
  <si>
    <t>Fuel 1 — Amount</t>
  </si>
  <si>
    <t>Energy content</t>
  </si>
  <si>
    <t>Fuel 2 — Type</t>
  </si>
  <si>
    <t>Fuel 2 — Amount</t>
  </si>
  <si>
    <t>Fuel 3 — Type</t>
  </si>
  <si>
    <t>Fuel 3 — Amount</t>
  </si>
  <si>
    <t>Input Materials (Chemicals, Catalysts, etc.)</t>
  </si>
  <si>
    <t>Material 1 — Name</t>
  </si>
  <si>
    <t>Material 1 — Amount</t>
  </si>
  <si>
    <t>kg/yr</t>
  </si>
  <si>
    <t>Annual consumption</t>
  </si>
  <si>
    <t>Material 2 — Name</t>
  </si>
  <si>
    <t>Material 2 — Amount</t>
  </si>
  <si>
    <t>Material 3 — Name</t>
  </si>
  <si>
    <t>Material 3 — Amount</t>
  </si>
  <si>
    <t>Material 4 — Name</t>
  </si>
  <si>
    <t>Material 4 — Amount</t>
  </si>
  <si>
    <t>Plant Fugitive &amp; Leakage Emissions</t>
  </si>
  <si>
    <t>Fugitive 1 — GHG Type</t>
  </si>
  <si>
    <t>Fugitive 1 — Amount</t>
  </si>
  <si>
    <t>Annual fugitive mass emitted.</t>
  </si>
  <si>
    <t>Fugitive 2 — GHG Type</t>
  </si>
  <si>
    <t>Fugitive 2 — Amount</t>
  </si>
  <si>
    <t>Fugitive 3 — GHG Type</t>
  </si>
  <si>
    <t>Fugitive 3 — Amount</t>
  </si>
  <si>
    <t>Fugitive 4 — GHG Type</t>
  </si>
  <si>
    <t>Fugitive 4 — Amount</t>
  </si>
  <si>
    <t>End-Use — Fuel Combustion (EU RFNBO + IMO TtW)</t>
  </si>
  <si>
    <t>Engine / Burner Type</t>
  </si>
  <si>
    <t>Drives N₂O emission factor (dropdown).</t>
  </si>
  <si>
    <t>Fuel-N to N₂O Conversion (Default)</t>
  </si>
  <si>
    <t>%</t>
  </si>
  <si>
    <t>Default</t>
  </si>
  <si>
    <t>Engine-type default from Emission Factors §10.11.</t>
  </si>
  <si>
    <t>Fuel-N to N₂O Conversion (Override)</t>
  </si>
  <si>
    <t>Engine-type Emission Factors by user (fill for selection "other" from dropdown)</t>
  </si>
  <si>
    <t>Fuel-N to N₂O Conversion (Active)</t>
  </si>
  <si>
    <t>Engine-type Emission Factors applied by tool</t>
  </si>
  <si>
    <t>GHG Intensity Calculator for Green Ammonia</t>
  </si>
  <si>
    <t>Digital tool for ammonia project developers</t>
  </si>
  <si>
    <t>Purpose</t>
  </si>
  <si>
    <t>This tool calculates lifecycle GHG intensity (kgCO₂eq/kg NH₃) of ammonia produced via the Haber-Bosch process fed by hydrogen (from on-site electrolysis or merchant supply) and nitrogen (from cryogenic air separation) as per the following methodologies. As such, the tool shall help to do initial estimations on standard compliance, methodology understanding and level of GHG emissions.</t>
  </si>
  <si>
    <t>It implements three regulatory frameworks:</t>
  </si>
  <si>
    <t xml:space="preserve">   • EU — Renewable Fuels of Non-Biological Origin (RFNBO) per Commission Delegated Reg. (EU) 2023/1185 + 2023/1184 (parent Dir. (EU) 2018/2001 / 2023/2413). Well-to-wheel formula vs. 94 gCO₂eq/MJ fossil comparator with ≥ 70 % savings threshold.</t>
  </si>
  <si>
    <t xml:space="preserve">   • EU — Carbon Border Adjustment Mechanism (Reg. (EU) 2023/956 + Imp. Reg. (EU) 2025/2547) — ammonia is NOT in Annex II, so indirect (grid electricity) emissions are counted and H₂ precursor SEE is carried through per Reg. 2025/2547 §Q.</t>
  </si>
  <si>
    <t xml:space="preserve">   • IMO — GHG Fuel Intensity for marine fuels (MEPC.391(81) LCA Guidelines + draft revised MARPOL Annex VI, MEPC-ES.2-2). Well-to-wake gCO₂eq/MJ</t>
  </si>
  <si>
    <t>How to Use</t>
  </si>
  <si>
    <t>Step 1:  Go to the 'Project Data' sheet and fill in all yellow-highlighted cells with your project-specific data. Use the H₂ Supply Mode dropdown (row 17) to switch between On-site electrolysis and Merchant supply.</t>
  </si>
  <si>
    <t>Step 2:  Check the 'EU RFNBO', 'EU CBAM', 'IMO' sheets for further data input and detailed calculation results.</t>
  </si>
  <si>
    <t>Step 3:  Review the 'Emission Factors' sheet as needed to see potential use of default factors in the absence of project specific information.</t>
  </si>
  <si>
    <t>Step 4:  Use the 'Results' sheet to see outcomes across all selected methodologies.</t>
  </si>
  <si>
    <t>Note: Cells with blue text on yellow background are user inputs. Cells with green text contain calculated values / formulas.</t>
  </si>
  <si>
    <t>GHG Intensity Thresholds</t>
  </si>
  <si>
    <t>EU RFNBO: ≥ 70 % GHG savings vs. fossil fuel comparator EF = 94 gCO₂eq/MJ. Corresponds to absolute E ≤ 28.2 gCO₂eq/MJ ≈ 0.5245 kgCO₂eq/kg NH₃.</t>
  </si>
  <si>
    <t>EU CBAM: No threshold — direct + indirect + precursor embedded emissions value only (informational; used for CBAM certificate calculations under Reg. (EU) 2023/956 Art. 21-23).</t>
  </si>
  <si>
    <t>IMO: GHG Fuel Intensity trajectory (2028 / 2030 / 2035 / 2040 targets — per MEPC-ES.2-2 draft; confirmed Emission Factors pending).</t>
  </si>
  <si>
    <t>Version &amp; Disclaimer</t>
  </si>
  <si>
    <t>This GHG calculation tool was developed by Perspectives Climate Research in the context of H2Uppp Programme of the German Federal Ministry of Economic Affairs and Energy. H2Uppp is implemented by GIZ. The opinions and recommendations expressed in this tool do not necessarily reflect the positions of the commissioning institutions or the implementing agency.</t>
  </si>
  <si>
    <t>For any questions regarding the tool, please contact H2Uppp@giz.de or info@perspectives.cc</t>
  </si>
  <si>
    <t>This tool was developed with support of AI tools (namely ClaudeAI and ChatGPT). While AI contributed to the process of development, all interpretations and conclusions drawn from this work remain the responsibility of the authors</t>
  </si>
  <si>
    <t>EU RFNBO — Renewable Fuels of Non-Biological Origin</t>
  </si>
  <si>
    <t>Source:</t>
  </si>
  <si>
    <t>Commission Delegated Reg. (EU) 2023/1185 (10 Feb 2023, OJ L 157, methodology) + Commission Delegated Reg. (EU) 2023/1184 (electricity rules); Directive (EU) 2018/2001 (RED II), amended by Directive (EU) 2023/2413 (RED III, 18 Oct 2023).</t>
  </si>
  <si>
    <t>Boundary:</t>
  </si>
  <si>
    <t>Well-to-Wheel/Wake including supply of inputs, processing, transport &amp; distribution, end-use combustion (i.e. = 0 for H₂). CCS savings subtracted. Emissions from manufacture of machinery/equipment EXCLUDED (Annex A.1).</t>
  </si>
  <si>
    <t>Output unit:</t>
  </si>
  <si>
    <t>Primary: gCO₂e/MJ NH₃ (regulation native); mirrored as kgCO₂e/kgNH₃ (= E_gMJ × 18.6 ÷ 1000)</t>
  </si>
  <si>
    <t>Threshold:</t>
  </si>
  <si>
    <t>≥ 70 % GHG savings vs. fossil fuel comparator E_F = 94 gCO₂eq/MJ (Art. 25(2) of Dir. 2018/2001)</t>
  </si>
  <si>
    <t>GWP Basis</t>
  </si>
  <si>
    <t>kgNH3/yr</t>
  </si>
  <si>
    <t>Annual NH₃ Energy Output</t>
  </si>
  <si>
    <t>GHG Intensity Calculation</t>
  </si>
  <si>
    <t>Component</t>
  </si>
  <si>
    <t>Formula / Reference</t>
  </si>
  <si>
    <t>Description</t>
  </si>
  <si>
    <t>Type</t>
  </si>
  <si>
    <t>Amount</t>
  </si>
  <si>
    <t>Input Unit</t>
  </si>
  <si>
    <t>EF from selection</t>
  </si>
  <si>
    <t>EF override</t>
  </si>
  <si>
    <t>Active EF</t>
  </si>
  <si>
    <t>EF Unit</t>
  </si>
  <si>
    <t>Result (gCO₂e/MJ)</t>
  </si>
  <si>
    <t>(Change on Project Data sheet)</t>
  </si>
  <si>
    <t>e_H2</t>
  </si>
  <si>
    <t>-</t>
  </si>
  <si>
    <t>If merchant supply</t>
  </si>
  <si>
    <t>kgH2/yr</t>
  </si>
  <si>
    <t>gCO₂e/kgH2</t>
  </si>
  <si>
    <t>e_N2</t>
  </si>
  <si>
    <t>kgN₂/yr</t>
  </si>
  <si>
    <t>gCO₂e/kgN₂</t>
  </si>
  <si>
    <t>e_electricity (within eᵢ_elastic)</t>
  </si>
  <si>
    <t>Reg. 2023/1185
Annex A §5-6</t>
  </si>
  <si>
    <t>Electricity input. EF as per RFNBO Electricity Treatment: Fully Renewable / FLH below marginal → 0; FLH above marginal → 183 gCO₂eq/MJ; Grid Country Average / Marginal Unit</t>
  </si>
  <si>
    <t>kWh/yr</t>
  </si>
  <si>
    <t>Use EF override</t>
  </si>
  <si>
    <t>gCO₂e/kWh</t>
  </si>
  <si>
    <t>e_water (within eᵢ_elastic)</t>
  </si>
  <si>
    <t>Annex A §7-8</t>
  </si>
  <si>
    <t>Water supply emissions. Ecoinvent data is used as proxy. Override by own EF if available.</t>
  </si>
  <si>
    <t>kgCO₂e/m³</t>
  </si>
  <si>
    <t>e_fuel (within eᵢ_elastic)</t>
  </si>
  <si>
    <t>Process fuels as provided on Project Data sheet</t>
  </si>
  <si>
    <t>gCO2e/MJ</t>
  </si>
  <si>
    <t>e_steam (within eᵢ_elastic)</t>
  </si>
  <si>
    <t>Steam consumption</t>
  </si>
  <si>
    <t>kgCO₂e/MJ</t>
  </si>
  <si>
    <t>e_materials (within eᵢ_elastic)</t>
  </si>
  <si>
    <t>Input materials as provided on Project Data sheet</t>
  </si>
  <si>
    <t>gCO₂e/kg</t>
  </si>
  <si>
    <t>eᵢ_elastic (subtotal)</t>
  </si>
  <si>
    <t>Annex A §4-8</t>
  </si>
  <si>
    <t>Sum of elastic input supply emissions: electricity + water + fuel + materials.</t>
  </si>
  <si>
    <t>eᵢ_rigid</t>
  </si>
  <si>
    <t>Annex A §9</t>
  </si>
  <si>
    <t>Rigid inputs (waste streams, captive co-products from incorporated processes). Typically 0 for green electrolysis.</t>
  </si>
  <si>
    <t>kgCO₂e/yr</t>
  </si>
  <si>
    <t>e_ex-use</t>
  </si>
  <si>
    <t>Annex A §10</t>
  </si>
  <si>
    <t>Avoided emissions from the input's existing use or fate. Subtracted from eᵢ.</t>
  </si>
  <si>
    <t>eᵢ = eᵢ_elastic + eᵢ_rigid − e_ex-use</t>
  </si>
  <si>
    <t>Annex A.1</t>
  </si>
  <si>
    <t>Total emissions from supply of inputs.</t>
  </si>
  <si>
    <t>eₚ — Plant fugitive/leakage emissions (§12 leakage component)</t>
  </si>
  <si>
    <t>Annex A §12</t>
  </si>
  <si>
    <t>Processing emissions (direct atmospheric CH4, N2O, etc.)</t>
  </si>
  <si>
    <t>kgCO2e/kg</t>
  </si>
  <si>
    <t>e_td — Transport &amp; distribution</t>
  </si>
  <si>
    <t>Annex A §16</t>
  </si>
  <si>
    <t>Emissions from storage and distribution of finished H₂.</t>
  </si>
  <si>
    <t>gCO₂e/MJ NH3</t>
  </si>
  <si>
    <t>eᵤ — End-use combustion</t>
  </si>
  <si>
    <t>Annex A §13</t>
  </si>
  <si>
    <t>Combustion emissions of the finished fuel</t>
  </si>
  <si>
    <t>kg N₂O/yr</t>
  </si>
  <si>
    <t>kgCO₂e/kg N₂O</t>
  </si>
  <si>
    <t>e_ccs — CCS savings (subtracted)</t>
  </si>
  <si>
    <t>Annex A §17</t>
  </si>
  <si>
    <t>CCS savings term</t>
  </si>
  <si>
    <t>E — Total GHG intensity</t>
  </si>
  <si>
    <t>Annex A §1</t>
  </si>
  <si>
    <t>E = eᵢ + eₚ + e_td + eᵤ − e_ccs</t>
  </si>
  <si>
    <t>gCO₂e/MJ</t>
  </si>
  <si>
    <t>E — Total GHG intensity (mirror unit)</t>
  </si>
  <si>
    <t>E_gMJ × 18.6 ÷ 1000  (NH₃ LHV = 18.6 MJ/kg)</t>
  </si>
  <si>
    <t>kgCO₂e/kgH₂</t>
  </si>
  <si>
    <t>EF — Fossil fuel comparator</t>
  </si>
  <si>
    <t>Annex A §2</t>
  </si>
  <si>
    <t>Fossil fuel comparator EF_F — fixed at 94 gCO₂e/MJ</t>
  </si>
  <si>
    <t>Constant per regulation</t>
  </si>
  <si>
    <t>% GHG Savings</t>
  </si>
  <si>
    <t>Annex A.2</t>
  </si>
  <si>
    <t>Savings = (E_F − E) / E_F</t>
  </si>
  <si>
    <t>Pass / Fail (≥ 70 % savings?)</t>
  </si>
  <si>
    <t>Threshold = 70 % savings → E ≤ 28.2 gCO₂e/MJ (≈ 0.5245 kgCO₂e/kg NH₃).</t>
  </si>
  <si>
    <t>Notes on EU RFNBO</t>
  </si>
  <si>
    <t>EU RFNBO (Renewable Fuels of Non-Biological Origin) is the EU's framework for certifying renewable hydrogen and derived synthetic fuels. The methodology in Commission Delegated Regulation (EU) 2023/1185 defines a complete well-to-wheel formula:  E = eᵢ + eₚ + e_td + eᵤ − e_ccs (gCO₂eq/MJ fuel).</t>
  </si>
  <si>
    <t>The threshold is ≥ 70 % GHG savings against a fixed fossil fuel comparator of 94 gCO₂eq/MJ. This corresponds to E ≤ 28.2 gCO₂eq/MJ, or about 3.384 kgCO₂eq/kg H₂ (using H₂ LHV = 120 MJ/kg).</t>
  </si>
  <si>
    <t>Electricity treatment is the dominant lever. Electricity consumption shall be differentiated as per the regulations path using the related relevant electricity EF.</t>
  </si>
  <si>
    <t>As such, additionality, temporal and geographical correlation (Reg. 2023/1184) are important - they do not modify the calculation directly but signal whether the project qualifies for the favourable electricity treatment under Art. 4 of Reg. 2023/1184.</t>
  </si>
  <si>
    <t>RFNBO covers only non-biological-origin hydrogen by definition (Art. 2(36) of Dir. (EU) 2018/2001). Biomass-derived H₂ falls under RED II Annex VI as a biomass fuel, not RFNBO -- not modelled in this tool.</t>
  </si>
  <si>
    <t>EU CBAM — Specific Embedded Emissions (Ammonia, CN 2814 10 00)</t>
  </si>
  <si>
    <t>Regulation (EU) 2023/956 (Annex IV) + Commission Implementing Regulation (EU) 2025/2547 (Annex I §3.6 hydrogen, Annex III §A.2.1 molar attribution)</t>
  </si>
  <si>
    <t>Direct + Indirect + Precursor emissions — ammonia is NOT in Annex II of Reg. 2023/956 (Art. 7(1)). Indirect emissions from electricity consumption ARE counted (opposite of hydrogen). Precursor H₂/N₂ SEE carried through per Reg. 2025/2547 §Q.</t>
  </si>
  <si>
    <t>kgCO₂e/kgNH₃ (numerically equal to tCO₂e/tNH₃)</t>
  </si>
  <si>
    <t>NA (only CO2)</t>
  </si>
  <si>
    <t>Annual NH3 Output</t>
  </si>
  <si>
    <t>Formula Ref</t>
  </si>
  <si>
    <t>Result (kgCO₂e/kgNH₃)</t>
  </si>
  <si>
    <t>Only direct CO2</t>
  </si>
  <si>
    <t>e_electricity</t>
  </si>
  <si>
    <t>Electricity consumption for ASU, etc. excluding electrolysis/hydrogen production</t>
  </si>
  <si>
    <t>e_steam (IndirEm)</t>
  </si>
  <si>
    <t>§Q</t>
  </si>
  <si>
    <t>e_fuel (direct CO2 from combustion)</t>
  </si>
  <si>
    <t>Reg. 2023/956 Annex IV §2 + Reg. 2025/2547 §B.3.1</t>
  </si>
  <si>
    <t>e_fugitive (direct atmospheric)</t>
  </si>
  <si>
    <t>Reg. 2023/956 Annex IV §2</t>
  </si>
  <si>
    <t>Processing emissions (only CO2)</t>
  </si>
  <si>
    <t>Note on EU CBAM</t>
  </si>
  <si>
    <t>Ammonia is in  Annex I and not in Annex II of Reg. (EU) 2023/956.</t>
  </si>
  <si>
    <t>Biomass-derived hydrogen is out of scope of this tool; the workbook  models the electrolysis pathway only.</t>
  </si>
  <si>
    <t>IMO — GHG Fuel Intensity (Ammonia bunker fuel)</t>
  </si>
  <si>
    <t>MEPC.391(81) LCA Guidelines (Apr 2024) + draft revised MARPOL Annex VI (MEPC-ES.2-2) + GESAMP-LCA WG FAQs (2025)</t>
  </si>
  <si>
    <t>Well-to-Wake: WtT (feedstock extraction + fuel production + transport &amp; bunkering) + TtW (combustion, N₂O dominates for NH₃). Machinery/equipment manufacturing excluded.</t>
  </si>
  <si>
    <t>GHG Fuel Intensity (GFI) in gCO₂eq/MJ NH₃</t>
  </si>
  <si>
    <t>No fuel specific threshold but GFI Trajectory for ship: Direct and Base Targets for years between 2028 and 2035</t>
  </si>
  <si>
    <t>IPCC AR5 GWP100</t>
  </si>
  <si>
    <t>kg NH₃/yr</t>
  </si>
  <si>
    <t>Annual NH3  Energy Output</t>
  </si>
  <si>
    <t>WtT — e_H2</t>
  </si>
  <si>
    <t>WtT — e_N2</t>
  </si>
  <si>
    <t>kgN₂/yr</t>
  </si>
  <si>
    <t>WtT — e_electricity</t>
  </si>
  <si>
    <t>MEPC.391 Section 4</t>
  </si>
  <si>
    <t>Electricity consumption</t>
  </si>
  <si>
    <t>WtT — e_water</t>
  </si>
  <si>
    <t>WtT — e_fuel</t>
  </si>
  <si>
    <t>WtT — e_steam</t>
  </si>
  <si>
    <t>WtT — e_materials</t>
  </si>
  <si>
    <t>WtT — eₚ fugitive</t>
  </si>
  <si>
    <t>WtT — efecu</t>
  </si>
  <si>
    <t>Additional emissions associated with the feedstock extraction/cultivation/acquisition/recovery not yet covered above</t>
  </si>
  <si>
    <t>WtT — etd</t>
  </si>
  <si>
    <t>Emissions from storage and distribution of finished NH3</t>
  </si>
  <si>
    <t>WtT — eccs</t>
  </si>
  <si>
    <t>TtW — N₂O from combustion</t>
  </si>
  <si>
    <t>MEPC.391 Section 5</t>
  </si>
  <si>
    <t>Emissions from Ammonia combustion</t>
  </si>
  <si>
    <t>WtT — e total</t>
  </si>
  <si>
    <t>TtW — e total</t>
  </si>
  <si>
    <t>e total</t>
  </si>
  <si>
    <t>e total (mirror unit)</t>
  </si>
  <si>
    <t>kgCO₂e/kgNH3</t>
  </si>
  <si>
    <t>Note on IMO</t>
  </si>
  <si>
    <t>GFI2008 is the GFI reference value equivalent to 93.3 gCO2eq/MJ (well-to-wake), representing the average GFI of international shipping in year 2008</t>
  </si>
  <si>
    <t>GFI Trajectory: Direct and Base Targets for years between 2028 and 2035</t>
  </si>
  <si>
    <t>Ammonia as marine fuel; fertilizer/chemical use out of scope.</t>
  </si>
  <si>
    <t>Methodology Results</t>
  </si>
  <si>
    <t>Included in Results (from Project Data):</t>
  </si>
  <si>
    <t>Metric</t>
  </si>
  <si>
    <t>EU RFNBO</t>
  </si>
  <si>
    <t>EU CBAM</t>
  </si>
  <si>
    <t>IMO</t>
  </si>
  <si>
    <t>Notes</t>
  </si>
  <si>
    <t>Total GHG Intensity (kgCO₂e/kgNH3)</t>
  </si>
  <si>
    <t>Total GHG Intensity (gCO₂e/MJ)</t>
  </si>
  <si>
    <t>Threshold</t>
  </si>
  <si>
    <t>≥ 70 % savings → E ≤ 28.2 gCO₂e/MJ</t>
  </si>
  <si>
    <t>None (no threshold)</t>
  </si>
  <si>
    <t>No fuel threshold: GFI Trajectory: Direct and Base Targets for years between 2028 and 2035</t>
  </si>
  <si>
    <t>Pass / Fail</t>
  </si>
  <si>
    <t>Informational</t>
  </si>
  <si>
    <t>Methodology Details</t>
  </si>
  <si>
    <t>Methodology / Regulation</t>
  </si>
  <si>
    <t>Reg. (EU) 2023/1185 + Reg. (EU) 2023/1184 + Dir. 2018/2001 (RED II) / 2023/2413 (RED III)</t>
  </si>
  <si>
    <t>Reg. (EU) 2023/956 + Imp. Reg. (EU) 2025/2547</t>
  </si>
  <si>
    <t>MEPC.391(81) + MEPC-ES.2-2 draft</t>
  </si>
  <si>
    <t>Boundary</t>
  </si>
  <si>
    <t>Well-to-wheel; machinery/equipment excluded (Annex A.1)</t>
  </si>
  <si>
    <t>Production gate (Annex I —  CO2 only)</t>
  </si>
  <si>
    <t>Well-to-Wake; machinery excluded</t>
  </si>
  <si>
    <t>only CO₂ applies</t>
  </si>
  <si>
    <t>IPCC AR5 GWP100 locked; optional GWP20 comparative</t>
  </si>
  <si>
    <t>Emission Factors and External References</t>
  </si>
  <si>
    <t>§10.1 Grid Emission Factors</t>
  </si>
  <si>
    <t>Region / Grid</t>
  </si>
  <si>
    <t>Factor</t>
  </si>
  <si>
    <t>Source</t>
  </si>
  <si>
    <t>Version / Year</t>
  </si>
  <si>
    <t>Notes / Weblink</t>
  </si>
  <si>
    <t>EU RFNBO — Country-level Grid EFs (Reg. 2023/1185 Annex Part C)</t>
  </si>
  <si>
    <t>European Commission (Delegated Reg. 2023/1185)</t>
  </si>
  <si>
    <t>10 Feb 2023</t>
  </si>
  <si>
    <t>For EU projects: pick country grid EF from Annex Table A. For non-EU grids: use Annex Part C methodology. http://data.europa.eu/eli/reg_del/2023/1185/oj</t>
  </si>
  <si>
    <t>EU CBAM — Not applicable for hydrogen</t>
  </si>
  <si>
    <t>European Parliament &amp; Council (Reg. 2023/956)</t>
  </si>
  <si>
    <t>10 May 2023</t>
  </si>
  <si>
    <t>Annex II of Reg. 2023/956: hydrogen (CN 2804 10 00) counts direct emissions only; grid electricity out of scope. http://data.europa.eu/eli/reg/2023/956/oj</t>
  </si>
  <si>
    <t>India — National Grid (CEA)</t>
  </si>
  <si>
    <t>Central Electricity Authority</t>
  </si>
  <si>
    <t>v20.0 (Dec 2024); GHCI cites 0.71</t>
  </si>
  <si>
    <t>https://cea.nic.in/cdm-co2-baseline-database/?lang=en</t>
  </si>
  <si>
    <t>India — Regional Grid (example)</t>
  </si>
  <si>
    <t>CEA</t>
  </si>
  <si>
    <t>State-specific — see CEA CO₂ Baseline DB</t>
  </si>
  <si>
    <t>South Korea — National Grid</t>
  </si>
  <si>
    <t>Korea Energy Agency</t>
  </si>
  <si>
    <t>2023 (KEA/national inventory)</t>
  </si>
  <si>
    <t>https://english.motie.go.kr/eng/article/EATCLdfa319ada/1619/view</t>
  </si>
  <si>
    <t>UNFCCC IFI Harmonized Default Grid Factors (all countries)</t>
  </si>
  <si>
    <t>UNFCCC IFI Technical Working Group on GHG Accounting</t>
  </si>
  <si>
    <t>v3.2 (Apr 2022; data year 2021)</t>
  </si>
  <si>
    <t>https://unfccc.int/sites/default/files/resource/Harmonized_Grid_Emission_factor_data_set.xlsx</t>
  </si>
  <si>
    <t>§10.2 Fuel Emission Factors (gCO₂eq/MJ, LHV basis)</t>
  </si>
  <si>
    <t>Fuel</t>
  </si>
  <si>
    <t>CO₂ emissions</t>
  </si>
  <si>
    <t>Non-CO₂ combustion (CO₂e)</t>
  </si>
  <si>
    <t>Upstream (well-to-tank)</t>
  </si>
  <si>
    <t>Total emissions incl. upstream emissions</t>
  </si>
  <si>
    <t>Source / Notes</t>
  </si>
  <si>
    <t>Used for populating dropdown</t>
  </si>
  <si>
    <t>Natural Gas</t>
  </si>
  <si>
    <t>CO₂ + Non-CO₂ from IPCC 2006 Table 1 (NG, AR5 GWPs); Upstream + WTT from RFNBO Annex Part B</t>
  </si>
  <si>
    <t>Diesel</t>
  </si>
  <si>
    <t>CO₂ + Non-CO₂ from IPCC 2006 Table 1 (Gas oil and diesel oil, AR5 GWPs); Upstream + WTT from Part B</t>
  </si>
  <si>
    <t>Gasoline</t>
  </si>
  <si>
    <t>CO₂ + Non-CO₂ from IPCC 2006 Table 1 (Motor gasoline, AR5 GWPs); Upstream + WTT from Part B</t>
  </si>
  <si>
    <t>Heavy fuel oil</t>
  </si>
  <si>
    <t>CO₂ + Non-CO₂ from IPCC 2006 Table 1 (Fuel oil, AR5 GWPs); Upstream + WTT from Part B</t>
  </si>
  <si>
    <t>Methanol</t>
  </si>
  <si>
    <t>CO₂ (~= Part B combustion for methanol; IPCC does not list methanol); Non-CO₂ negligible; Upstream + WTT from Part B</t>
  </si>
  <si>
    <t>Hard coal</t>
  </si>
  <si>
    <t>CO₂ + Non-CO₂ from IPCC 2006 Table 1 (Other bituminous coal, AR5 GWPs); Upstream + WTT from Part B</t>
  </si>
  <si>
    <t>Lignite</t>
  </si>
  <si>
    <t>CO₂ + Non-CO₂ from IPCC 2006 Table 1 (Lignite, AR5 GWPs); Upstream + WTT from Part B. Note: WTT (116.7 Part B) exceeds sum of columns because Part B assumes higher combustion factor</t>
  </si>
  <si>
    <t>LPG (derived)</t>
  </si>
  <si>
    <t>CO₂ + Non-CO₂ from IPCC 2006 Table 1 (Liquefied petroleum gases, AR5 GWPs); Upstream from IPCC 2006 Table 3 (Petroleum products); WTT = sum (LPG not in Part B)</t>
  </si>
  <si>
    <t>Other</t>
  </si>
  <si>
    <t>§10.3 Material Emission Factors — Ecoinvent Standard Values</t>
  </si>
  <si>
    <t>Material</t>
  </si>
  <si>
    <t>Water (municipal supply)</t>
  </si>
  <si>
    <t>Ecoinvent / LCI</t>
  </si>
  <si>
    <t>3.9</t>
  </si>
  <si>
    <t>https://ecoinvent.org/database/</t>
  </si>
  <si>
    <t>Water (desalinated)</t>
  </si>
  <si>
    <t>Literature</t>
  </si>
  <si>
    <t>Indicative — site-specific LCA preferred (Ecoinvent: https://ecoinvent.org/database/)</t>
  </si>
  <si>
    <t>Deionized water</t>
  </si>
  <si>
    <t>Ecoinvent</t>
  </si>
  <si>
    <t>NaOH (caustic soda)</t>
  </si>
  <si>
    <t>KOH (potassium hydroxide)</t>
  </si>
  <si>
    <t>Salt (NaCl)</t>
  </si>
  <si>
    <t>Catalyst (generic placeholder)</t>
  </si>
  <si>
    <t>Placeholder</t>
  </si>
  <si>
    <t>Placeholder — replace with specific catalyst LCI from Ecoinvent (https://ecoinvent.org/database/)</t>
  </si>
  <si>
    <t>§10.3b Material Emission Factors — RFNBO Annex Part B (Standard Values)</t>
  </si>
  <si>
    <t>Ammonia</t>
  </si>
  <si>
    <t>RFNBO Annex Part B (Reg. 2023/1185)</t>
  </si>
  <si>
    <t>http://data.europa.eu/eli/reg_del/2023/1185/oj</t>
  </si>
  <si>
    <t>Calcium chloride (CaCl₂)</t>
  </si>
  <si>
    <t>Cyclohexane</t>
  </si>
  <si>
    <t>Hydrochloric acid (HCl)</t>
  </si>
  <si>
    <t>Lubricants</t>
  </si>
  <si>
    <t>Magnesium sulphate (MgSO₄)</t>
  </si>
  <si>
    <t>Nitrogen</t>
  </si>
  <si>
    <t>Phosphoric acid (H₃PO₄)</t>
  </si>
  <si>
    <t>Potassium hydroxide (KOH)</t>
  </si>
  <si>
    <t>Pure CaO for processes</t>
  </si>
  <si>
    <t>Sodium carbonate (Na₂CO₃)</t>
  </si>
  <si>
    <t>Sodium chloride (NaCl)</t>
  </si>
  <si>
    <t>Sodium hydroxide (NaOH)</t>
  </si>
  <si>
    <t>Sodium methoxide (Na(CH₃O))</t>
  </si>
  <si>
    <t>SO₂</t>
  </si>
  <si>
    <t>Sulphuric acid (H₂SO₄)</t>
  </si>
  <si>
    <t>Urea</t>
  </si>
  <si>
    <t>§10.4 Steam / Heat Emission Factors</t>
  </si>
  <si>
    <t>Source Type</t>
  </si>
  <si>
    <t>Natural gas boiler</t>
  </si>
  <si>
    <t>IPCC 2006 GL</t>
  </si>
  <si>
    <t>2006</t>
  </si>
  <si>
    <t>https://www.ipcc-nggip.iges.or.jp/public/2006gl/pdf/2_Volume2/V2_2_Ch2_Stationary_Combustion.pdf</t>
  </si>
  <si>
    <t>Coal boiler</t>
  </si>
  <si>
    <t>Waste heat (industrial)</t>
  </si>
  <si>
    <t>Methodology</t>
  </si>
  <si>
    <t>Per methodology — no upstream allocation if true waste heat</t>
  </si>
  <si>
    <t>Electric boiler (grid)</t>
  </si>
  <si>
    <t>Derived</t>
  </si>
  <si>
    <t>Derived: = grid_EF / 3.6 / boiler_eff (see above for grid EF source)</t>
  </si>
  <si>
    <t>GHG</t>
  </si>
  <si>
    <t>CO₂</t>
  </si>
  <si>
    <t>IPCC AR5 WG1 Ch.8 Tab.8.7</t>
  </si>
  <si>
    <t>CH₄</t>
  </si>
  <si>
    <t>N₂O</t>
  </si>
  <si>
    <t>Notes: As of now, most regulations refer to AR5 values. However, this may change in future updates and revisions of the applied methodologies.</t>
  </si>
  <si>
    <t>§10.6 Standard Unit Conversions</t>
  </si>
  <si>
    <t>Conversion</t>
  </si>
  <si>
    <t>From → To</t>
  </si>
  <si>
    <t>Energy</t>
  </si>
  <si>
    <t>1 kWh = 3.6 MJ</t>
  </si>
  <si>
    <t>1 MWh = 1,000 kWh</t>
  </si>
  <si>
    <t>Mass</t>
  </si>
  <si>
    <t>1 t = 1,000 kg</t>
  </si>
  <si>
    <t>H₂ LHV</t>
  </si>
  <si>
    <t>120 MJ/kg (lower heating value)</t>
  </si>
  <si>
    <t>H₂ HHV</t>
  </si>
  <si>
    <t>141.8 MJ/kg (higher heating value)</t>
  </si>
  <si>
    <t>§10.7 Ammonia Constants</t>
  </si>
  <si>
    <t>Constant</t>
  </si>
  <si>
    <t>NH₃ LHV</t>
  </si>
  <si>
    <t>MJ/kg</t>
  </si>
  <si>
    <t>GESAMP-LCA + IMO MEPC.391 default</t>
  </si>
  <si>
    <t>NH₃ HHV</t>
  </si>
  <si>
    <t>For reference</t>
  </si>
  <si>
    <t>NH₃ molar mass</t>
  </si>
  <si>
    <t>g/mol</t>
  </si>
  <si>
    <t>3/2 × 2.016 / 17.031</t>
  </si>
  <si>
    <t>Stoichiometric H₂:NH₃</t>
  </si>
  <si>
    <t>Stoichiometric N₂:NH₃</t>
  </si>
  <si>
    <t>1/2 × 28.014 / 17.031</t>
  </si>
  <si>
    <t>RFNBO NH₃ mass-basis threshold</t>
  </si>
  <si>
    <t>kgCO₂e/kgNH₃</t>
  </si>
  <si>
    <t>28.2 × 18.6 / 1000</t>
  </si>
  <si>
    <t>§10.8 Nitrogen (ASU) Reference</t>
  </si>
  <si>
    <t>Cryogenic ASU electricity intensity (typical)</t>
  </si>
  <si>
    <t>kWh/kgN₂</t>
  </si>
  <si>
    <t>Industrial literature (e.g. Linde, Air Liquide)</t>
  </si>
  <si>
    <t>ASU electricity range (low - high)</t>
  </si>
  <si>
    <t>0.08 - 0.14</t>
  </si>
  <si>
    <t>Efficiency dependent</t>
  </si>
  <si>
    <t>§10.9 Hydrogen Precursor Reference EFs</t>
  </si>
  <si>
    <t>H₂ pathway</t>
  </si>
  <si>
    <t>Typical range</t>
  </si>
  <si>
    <t>Green H₂ (renewable electrolysis)</t>
  </si>
  <si>
    <t>0.5 – 1.5</t>
  </si>
  <si>
    <t>RFNBO-cert values</t>
  </si>
  <si>
    <t>Blue H₂ (SMR + CCS)</t>
  </si>
  <si>
    <t>3.0 – 8.0</t>
  </si>
  <si>
    <t>IEA / literature</t>
  </si>
  <si>
    <t>Grey H₂ (SMR without CCS)</t>
  </si>
  <si>
    <t>10 – 13</t>
  </si>
  <si>
    <t>§10.10 End-Use N₂O Emission Factors (by engine/burner type)</t>
  </si>
  <si>
    <t>Fuel-N to N₂O Conversion (%)</t>
  </si>
  <si>
    <t>Value applied in tool if selected (%)</t>
  </si>
  <si>
    <t>Dual-fuel diesel (medium-speed)</t>
  </si>
  <si>
    <t>0.3 - 1.0</t>
  </si>
  <si>
    <t>Manufacturer / IEA marine references</t>
  </si>
  <si>
    <t>Spark ignition (SI) engine</t>
  </si>
  <si>
    <t>0.1 - 0.5</t>
  </si>
  <si>
    <t>Manufacturer / test-bench</t>
  </si>
  <si>
    <t>Fuel cell (SOFC / PEM)</t>
  </si>
  <si>
    <t>(no combustion)</t>
  </si>
  <si>
    <t>Industrial burner</t>
  </si>
  <si>
    <t>0.2 - 0.8</t>
  </si>
  <si>
    <t>§10.7 References</t>
  </si>
  <si>
    <t>Document</t>
  </si>
  <si>
    <t>Version / Date</t>
  </si>
  <si>
    <t>Relevant Pages</t>
  </si>
  <si>
    <t>Publisher</t>
  </si>
  <si>
    <t>Status</t>
  </si>
  <si>
    <t>CEA CO₂ Baseline Database v20.0 (India grid EF)</t>
  </si>
  <si>
    <t>v20.0 (Dec 2024)</t>
  </si>
  <si>
    <t>National + state-wise grid EFs</t>
  </si>
  <si>
    <t>Central Electricity Authority, India</t>
  </si>
  <si>
    <t>Reference</t>
  </si>
  <si>
    <t>CEA Dashboard — T&amp;D Losses Data (state-wise)</t>
  </si>
  <si>
    <t>Latest available</t>
  </si>
  <si>
    <t>State-wise T&amp;D loss %</t>
  </si>
  <si>
    <t>https://cea.nic.in/dashboard/?lang=en</t>
  </si>
  <si>
    <t>Ecoinvent Database</t>
  </si>
  <si>
    <t>v3.9+</t>
  </si>
  <si>
    <t>LCI for materials (water, NaOH, KOH, catalysts)</t>
  </si>
  <si>
    <t>Ecoinvent Association</t>
  </si>
  <si>
    <t>Commission Implementing Reg. (EU) 2018/2066 — EU ETS monitoring &amp; reporting</t>
  </si>
  <si>
    <t>19 Dec 2018 (OJ L 334)</t>
  </si>
  <si>
    <t>Monitoring &amp; reporting methodology</t>
  </si>
  <si>
    <t>European Commission</t>
  </si>
  <si>
    <t>http://data.europa.eu/eli/reg_impl/2018/2066/oj</t>
  </si>
  <si>
    <t>Commission Delegated Reg. (EU) 2023/1184 — RFNBO renewable-electricity rules</t>
  </si>
  <si>
    <t>10 Feb 2023 (OJ L 157, 20.6.2023, p. 11)</t>
  </si>
  <si>
    <t>Arts. 4-7</t>
  </si>
  <si>
    <t>In force</t>
  </si>
  <si>
    <t>http://data.europa.eu/eli/reg_del/2023/1184/oj</t>
  </si>
  <si>
    <t>Commission Delegated Reg. (EU) 2023/1185 — RFNBO/RCF GHG methodology</t>
  </si>
  <si>
    <t>10 Feb 2023 (OJ L 157, 20.6.2023, p. 20)</t>
  </si>
  <si>
    <t>Annex A</t>
  </si>
  <si>
    <t>RFNBO FLH-above-marginal grid EF: 183 gCO₂eq/MJ_elec</t>
  </si>
  <si>
    <t>Reg. 2023/1185 (10 Feb 2023)</t>
  </si>
  <si>
    <t>Annex A §6(b)</t>
  </si>
  <si>
    <t>RFNBO fossil-fuel comparator: 94 gCO₂eq/MJ</t>
  </si>
  <si>
    <t>RFNBO high-RES bidding-zone threshold: 90 % RES share</t>
  </si>
  <si>
    <t>Reg. 2023/1184 (10 Feb 2023)</t>
  </si>
  <si>
    <t>Art. 4(1)</t>
  </si>
  <si>
    <t>RFNBO low-emission bidding-zone threshold: 18 gCO₂eq/MJ</t>
  </si>
  <si>
    <t>Art. 4(2)</t>
  </si>
  <si>
    <t>Commission Implementing Reg. (EU) 2025/2547 — CBAM implementing (hydrogen)</t>
  </si>
  <si>
    <t>10 Dec 2025 (OJ 22.12.2025)</t>
  </si>
  <si>
    <t>Annex I §3.6 (hydrogen); Annex II §B.3</t>
  </si>
  <si>
    <t>Applies from 2026-01-01</t>
  </si>
  <si>
    <t>http://data.europa.eu/eli/reg_impl/2025/2547/oj</t>
  </si>
  <si>
    <t>Directive (EU) 2018/2001 — Renewable Energy Directive (RED II)</t>
  </si>
  <si>
    <t>11 Dec 2018 (OJ L 328, 21.12.2018)</t>
  </si>
  <si>
    <t>Art. 25(2)</t>
  </si>
  <si>
    <t>European Parliament &amp; Council</t>
  </si>
  <si>
    <t>http://data.europa.eu/eli/dir/2018/2001/oj</t>
  </si>
  <si>
    <t>Regulation (EU) 2023/956 — establishing a Carbon Border Adjustment Mechanism (CBAM)</t>
  </si>
  <si>
    <t>10 May 2023 (OJ L 130, p. 52)</t>
  </si>
  <si>
    <t>Art. 7, Annex I, II, IV</t>
  </si>
  <si>
    <t>http://data.europa.eu/eli/reg/2023/956/oj</t>
  </si>
  <si>
    <t>Directive (EU) 2023/2413 — RED III (amending 2018/2001)</t>
  </si>
  <si>
    <t>18 Oct 2023 (OJ 31.10.2023)</t>
  </si>
  <si>
    <t>Amending provisions</t>
  </si>
  <si>
    <t>http://data.europa.eu/eli/dir/2023/2413/oj</t>
  </si>
  <si>
    <t>2006 Guidelines for National GHG Inventories (2019 Refinement)</t>
  </si>
  <si>
    <t>2006 (2019 Refinement)</t>
  </si>
  <si>
    <t>Vol. 2, Ch. 2 (fuel EFs)</t>
  </si>
  <si>
    <t>IPCC</t>
  </si>
  <si>
    <t>https://www.ipcc.ch/report/2006-ipcc-guidelines-for-national-greenhouse-gas-inventories/</t>
  </si>
  <si>
    <t>Fifth Assessment Report (AR5) — WG1 Ch. 8, Table 8.7 (GWP-100 values)</t>
  </si>
  <si>
    <t>2014</t>
  </si>
  <si>
    <t>WG1 Ch.8 Tbl 8.7</t>
  </si>
  <si>
    <t>https://www.ipcc.ch/report/ar5/wg1/</t>
  </si>
  <si>
    <t>Indian Green Hydrogen Certification Scheme (GHCI)</t>
  </si>
  <si>
    <t>Apr 2025</t>
  </si>
  <si>
    <t>pp. 19-23 (equations)</t>
  </si>
  <si>
    <t>Ministry of New and Renewable Energy (MNRE), India</t>
  </si>
  <si>
    <t>Active</t>
  </si>
  <si>
    <t>https://cdnbbsr.s3waas.gov.in/s3716e1bf9f3d5c0c4e4a4c3d1e0b0e0a0/uploads/2025/04/2025040415.pdf</t>
  </si>
  <si>
    <t>Clean Hydrogen Certification — Attached Form 1 (calculation standards)</t>
  </si>
  <si>
    <t>2025.4.24</t>
  </si>
  <si>
    <t>Attached Form 1 (calc. standards)</t>
  </si>
  <si>
    <t>Ministry of Trade, Industry and Energy (MOTIE), Korea</t>
  </si>
  <si>
    <t>Clean Hydrogen Certification — Attached Form 2 (Basic Data Provided)</t>
  </si>
  <si>
    <t>All</t>
  </si>
  <si>
    <t>Pending confirmation</t>
  </si>
  <si>
    <t>UNFCCC IFI Harmonized Default Grid Factors Dataset v3.2</t>
  </si>
  <si>
    <t>All countries + World + EU27</t>
  </si>
  <si>
    <t>https://unfccc.int/sites/default/files/resource/Harmonized_IFI_default_grid_factors_2021_v3.2.pdf</t>
  </si>
  <si>
    <r>
      <t>gCO₂e/kgN</t>
    </r>
    <r>
      <rPr>
        <vertAlign val="subscript"/>
        <sz val="10"/>
        <rFont val="Arial"/>
        <family val="2"/>
      </rPr>
      <t>2</t>
    </r>
  </si>
  <si>
    <t>gCO₂/MJ</t>
  </si>
  <si>
    <r>
      <t>kgN</t>
    </r>
    <r>
      <rPr>
        <vertAlign val="subscript"/>
        <sz val="9"/>
        <color rgb="FF595959"/>
        <rFont val="Arial"/>
        <family val="2"/>
      </rPr>
      <t>2</t>
    </r>
    <r>
      <rPr>
        <sz val="9"/>
        <color rgb="FF595959"/>
        <rFont val="Arial"/>
        <family val="2"/>
      </rPr>
      <t>/yr</t>
    </r>
  </si>
  <si>
    <t>Scope: Well-to-Gate or Well-to-Wheel/Wake as per the applied methodologies. Further tools have been developed in parallel to determine GHG emissions of hydrogen, e-methanol or eSAF. Please visit:</t>
  </si>
  <si>
    <t>https://ptx-hub.org/ publication /GHG_intensity_calculators_PtX_products</t>
  </si>
  <si>
    <t>Tool Version: 1.0</t>
  </si>
  <si>
    <t>Date: 2026-11-02</t>
  </si>
  <si>
    <t>DISCLAIMER: This tool is provided for estimation and planning purposes. Official certification requires verification by accredited bodies per each methodology's rules. The tool developers accept no liability for the results itself or certification outcomes. Users must verify all inputs and factors and potentially check for any updates of methodologies not yet covered by this tool. Furthermore, the tool reflects the regulatory framework as of the release date. As such, any changes after the release date are not reflected by the tool.</t>
  </si>
  <si>
    <t>Allocation factor (manual by user)</t>
  </si>
  <si>
    <t>Default 100%, user to adjust as needed</t>
  </si>
  <si>
    <t>Multi-output attribution is not considered under this tool as assumed not relevant. Can be changed by user.</t>
  </si>
  <si>
    <t>MEPC-ES.2-2 draft</t>
  </si>
  <si>
    <t>MGO baseline GFI = 93.3 gCO₂e/MJ.</t>
  </si>
  <si>
    <t>% Reduction vs. MGO baseline</t>
  </si>
  <si>
    <t>IPCC AR4 100-year (per Annex V part C point 4 of Dir. 2018/2001)</t>
  </si>
  <si>
    <t>GWP AR4</t>
  </si>
  <si>
    <t>GWP AR6</t>
  </si>
  <si>
    <t>GWP AR5</t>
  </si>
  <si>
    <t>§10.5 Global Warming Potential values (GWP 100)</t>
  </si>
  <si>
    <t>None — CBAM accounts for embedded product emissions, does not classify into ‚green‘ or ‚clean‘ ammonia</t>
  </si>
  <si>
    <t>Users can override default values in corresponding cells (e.g. EF override cells).</t>
  </si>
  <si>
    <t>Yes</t>
  </si>
  <si>
    <t>IPCC AR4 100-year (per Dir. 2018/2001 Annex V part C point 4)</t>
  </si>
  <si>
    <t>Example for illustration</t>
  </si>
  <si>
    <t>India</t>
  </si>
  <si>
    <t>No real case!</t>
  </si>
  <si>
    <t>Not applicable</t>
  </si>
  <si>
    <t>For machinery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</si>
</sst>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 #,##0_-;_-* &quot;-&quot;??_-;_-@_-"/>
    <numFmt numFmtId="165" formatCode="0.000"/>
    <numFmt numFmtId="166" formatCode="#,##0.0_ ;\-#,##0.0\ "/>
    <numFmt numFmtId="167" formatCode="0.0000"/>
    <numFmt numFmtId="168" formatCode="0.0"/>
    <numFmt numFmtId="169" formatCode="0.0%"/>
    <numFmt numFmtId="170" formatCode="#,##0.0"/>
    <numFmt numFmtId="171" formatCode="#,##0.0000"/>
    <numFmt numFmtId="172" formatCode="0.0000&quot; g/MJ&quot;"/>
    <numFmt numFmtId="173" formatCode="#,##0.000"/>
    <numFmt numFmtId="174" formatCode="0.000%"/>
  </numFmts>
  <fonts count="49" x14ac:knownFonts="1">
    <font>
      <sz val="11"/>
      <color theme="1"/>
      <name val="Calibri"/>
      <family val="2"/>
      <scheme val="minor"/>
    </font>
    <font>
      <b/>
      <sz val="16"/>
      <color rgb="FF1F4E79"/>
      <name val="Arial"/>
      <family val="2"/>
    </font>
    <font>
      <i/>
      <sz val="11"/>
      <color rgb="FF2E75B6"/>
      <name val="Arial"/>
      <family val="2"/>
    </font>
    <font>
      <b/>
      <sz val="11"/>
      <color rgb="FF1F4E79"/>
      <name val="Arial"/>
      <family val="2"/>
    </font>
    <font>
      <sz val="10"/>
      <color rgb="FF000000"/>
      <name val="Arial"/>
      <family val="2"/>
    </font>
    <font>
      <b/>
      <sz val="14"/>
      <color rgb="FFFFFFFF"/>
      <name val="Arial"/>
      <family val="2"/>
    </font>
    <font>
      <b/>
      <sz val="10"/>
      <color rgb="FFFFFFFF"/>
      <name val="Arial"/>
      <family val="2"/>
    </font>
    <font>
      <b/>
      <sz val="10"/>
      <color rgb="FF1F4E79"/>
      <name val="Arial"/>
      <family val="2"/>
    </font>
    <font>
      <sz val="10"/>
      <color rgb="FF0000FF"/>
      <name val="Arial"/>
      <family val="2"/>
    </font>
    <font>
      <i/>
      <sz val="10"/>
      <color rgb="FF595959"/>
      <name val="Arial"/>
      <family val="2"/>
    </font>
    <font>
      <i/>
      <sz val="9"/>
      <color rgb="FF000000"/>
      <name val="Arial"/>
      <family val="2"/>
    </font>
    <font>
      <b/>
      <sz val="10"/>
      <color rgb="FF000000"/>
      <name val="Arial"/>
      <family val="2"/>
    </font>
    <font>
      <sz val="10"/>
      <color rgb="FF008000"/>
      <name val="Arial"/>
      <family val="2"/>
    </font>
    <font>
      <b/>
      <sz val="12"/>
      <color rgb="FF1F4E79"/>
      <name val="Arial"/>
      <family val="2"/>
    </font>
    <font>
      <b/>
      <sz val="10"/>
      <color rgb="FF008000"/>
      <name val="Arial"/>
      <family val="2"/>
    </font>
    <font>
      <b/>
      <sz val="11"/>
      <color rgb="FF008000"/>
      <name val="Arial"/>
      <family val="2"/>
    </font>
    <font>
      <sz val="9"/>
      <color rgb="FF000000"/>
      <name val="Arial"/>
      <family val="2"/>
    </font>
    <font>
      <sz val="11"/>
      <name val="Calibri"/>
      <family val="2"/>
    </font>
    <font>
      <sz val="10"/>
      <color theme="1"/>
      <name val="Arial"/>
      <family val="2"/>
    </font>
    <font>
      <sz val="11"/>
      <color rgb="FF000000"/>
      <name val="Calibri"/>
      <family val="2"/>
      <scheme val="minor"/>
    </font>
    <font>
      <sz val="11"/>
      <color theme="1"/>
      <name val="Calibri"/>
      <family val="2"/>
      <scheme val="minor"/>
    </font>
    <font>
      <sz val="10"/>
      <name val="Arial"/>
      <family val="2"/>
    </font>
    <font>
      <sz val="10"/>
      <name val="Arial"/>
      <family val="2"/>
    </font>
    <font>
      <b/>
      <sz val="11"/>
      <color rgb="FFFFFFFF"/>
      <name val="Arial"/>
      <family val="2"/>
    </font>
    <font>
      <i/>
      <sz val="9"/>
      <name val="Arial"/>
      <family val="2"/>
    </font>
    <font>
      <b/>
      <sz val="10"/>
      <color rgb="FF1F4E79"/>
      <name val="Arial"/>
      <family val="2"/>
    </font>
    <font>
      <i/>
      <sz val="9"/>
      <name val="Arial"/>
      <family val="2"/>
    </font>
    <font>
      <sz val="10"/>
      <color theme="0" tint="-0.14999847407452621"/>
      <name val="Arial"/>
      <family val="2"/>
    </font>
    <font>
      <b/>
      <sz val="16"/>
      <color rgb="FFFFFFFF"/>
      <name val="Arial"/>
      <family val="2"/>
    </font>
    <font>
      <b/>
      <sz val="11"/>
      <color rgb="FFFFFFFF"/>
      <name val="Arial"/>
      <family val="2"/>
    </font>
    <font>
      <sz val="9"/>
      <color rgb="FF595959"/>
      <name val="Arial"/>
      <family val="2"/>
    </font>
    <font>
      <sz val="9"/>
      <color rgb="FF0000FF"/>
      <name val="Arial"/>
      <family val="2"/>
    </font>
    <font>
      <sz val="10"/>
      <color rgb="FF1F4E79"/>
      <name val="Arial"/>
      <family val="2"/>
    </font>
    <font>
      <sz val="11"/>
      <color rgb="FF1F4E79"/>
      <name val="Calibri"/>
      <family val="2"/>
      <scheme val="minor"/>
    </font>
    <font>
      <b/>
      <sz val="11"/>
      <color rgb="FF1F4E79"/>
      <name val="Calibri"/>
      <family val="2"/>
      <scheme val="minor"/>
    </font>
    <font>
      <i/>
      <sz val="10"/>
      <color rgb="FF1F4E79"/>
      <name val="Calibri"/>
      <family val="2"/>
      <scheme val="minor"/>
    </font>
    <font>
      <i/>
      <sz val="10"/>
      <color rgb="FF1F4E79"/>
      <name val="Arial"/>
      <family val="2"/>
    </font>
    <font>
      <i/>
      <sz val="9"/>
      <color theme="1"/>
      <name val="Calibri"/>
      <family val="2"/>
      <scheme val="minor"/>
    </font>
    <font>
      <b/>
      <sz val="10"/>
      <color rgb="FF008000"/>
      <name val="Calibri"/>
      <family val="2"/>
    </font>
    <font>
      <b/>
      <sz val="10"/>
      <color rgb="FF000000"/>
      <name val="Arial"/>
      <family val="2"/>
    </font>
    <font>
      <sz val="10"/>
      <color rgb="FF000000"/>
      <name val="Arial"/>
      <family val="2"/>
    </font>
    <font>
      <i/>
      <sz val="9"/>
      <color rgb="FF000000"/>
      <name val="Arial"/>
      <family val="2"/>
    </font>
    <font>
      <sz val="10"/>
      <color rgb="FF008000"/>
      <name val="Arial"/>
      <family val="2"/>
    </font>
    <font>
      <sz val="10"/>
      <color rgb="FF008000"/>
      <name val="Arial"/>
      <family val="2"/>
    </font>
    <font>
      <vertAlign val="subscript"/>
      <sz val="10"/>
      <name val="Arial"/>
      <family val="2"/>
    </font>
    <font>
      <vertAlign val="subscript"/>
      <sz val="9"/>
      <color rgb="FF595959"/>
      <name val="Arial"/>
      <family val="2"/>
    </font>
    <font>
      <u/>
      <sz val="11"/>
      <color theme="10"/>
      <name val="Calibri"/>
      <family val="2"/>
      <scheme val="minor"/>
    </font>
    <font>
      <u/>
      <sz val="10"/>
      <color theme="10"/>
      <name val="Arial"/>
      <family val="2"/>
    </font>
    <font>
      <b/>
      <sz val="11"/>
      <color rgb="FFFFFFFF"/>
      <name val="Calibri"/>
      <family val="2"/>
    </font>
  </fonts>
  <fills count="32">
    <fill>
      <patternFill patternType="none"/>
    </fill>
    <fill>
      <patternFill patternType="gray125"/>
    </fill>
    <fill>
      <patternFill patternType="solid">
        <fgColor rgb="FF2E75B6"/>
        <bgColor rgb="FF2E75B6"/>
      </patternFill>
    </fill>
    <fill>
      <patternFill patternType="solid">
        <fgColor rgb="FFD6E4F0"/>
        <bgColor rgb="FFD6E4F0"/>
      </patternFill>
    </fill>
    <fill>
      <patternFill patternType="solid">
        <fgColor rgb="FFFFF2CC"/>
        <bgColor rgb="FFFFF2CC"/>
      </patternFill>
    </fill>
    <fill>
      <patternFill patternType="solid">
        <fgColor rgb="FFF4B183"/>
        <bgColor rgb="FFF4B183"/>
      </patternFill>
    </fill>
    <fill>
      <patternFill patternType="solid">
        <fgColor indexed="9"/>
        <bgColor indexed="64"/>
      </patternFill>
    </fill>
    <fill>
      <patternFill patternType="solid">
        <fgColor rgb="FFE9F0F7"/>
        <bgColor indexed="64"/>
      </patternFill>
    </fill>
    <fill>
      <patternFill patternType="solid">
        <fgColor rgb="FFFFF2CC"/>
        <bgColor indexed="64"/>
      </patternFill>
    </fill>
    <fill>
      <patternFill patternType="solid">
        <fgColor theme="0"/>
        <bgColor indexed="64"/>
      </patternFill>
    </fill>
    <fill>
      <patternFill patternType="solid">
        <fgColor rgb="FFF2F2F2"/>
      </patternFill>
    </fill>
    <fill>
      <patternFill patternType="solid">
        <fgColor rgb="FF1F4E79"/>
      </patternFill>
    </fill>
    <fill>
      <patternFill patternType="solid">
        <fgColor rgb="FFD6E4F0"/>
      </patternFill>
    </fill>
    <fill>
      <patternFill patternType="solid">
        <fgColor rgb="FFFFF2CC"/>
      </patternFill>
    </fill>
    <fill>
      <patternFill patternType="solid">
        <fgColor rgb="FF2E75B6"/>
      </patternFill>
    </fill>
    <fill>
      <patternFill patternType="solid">
        <fgColor rgb="FFFFFFFF"/>
        <bgColor indexed="64"/>
      </patternFill>
    </fill>
    <fill>
      <patternFill patternType="solid">
        <fgColor rgb="FF2E75B6"/>
        <bgColor indexed="64"/>
      </patternFill>
    </fill>
    <fill>
      <patternFill patternType="solid">
        <fgColor rgb="FFE9F0F7"/>
      </patternFill>
    </fill>
    <fill>
      <patternFill patternType="solid">
        <fgColor rgb="FF1F4E79"/>
        <bgColor indexed="64"/>
      </patternFill>
    </fill>
    <fill>
      <patternFill patternType="solid">
        <fgColor rgb="FFF2F2F2"/>
        <bgColor indexed="64"/>
      </patternFill>
    </fill>
    <fill>
      <patternFill patternType="solid">
        <fgColor rgb="FFF4B183"/>
      </patternFill>
    </fill>
    <fill>
      <patternFill patternType="solid">
        <fgColor rgb="FFF4B183"/>
        <bgColor indexed="64"/>
      </patternFill>
    </fill>
    <fill>
      <patternFill patternType="solid">
        <fgColor rgb="FFF2F6FB"/>
        <bgColor indexed="64"/>
      </patternFill>
    </fill>
    <fill>
      <patternFill patternType="solid">
        <fgColor rgb="FF595959"/>
      </patternFill>
    </fill>
    <fill>
      <patternFill patternType="solid">
        <fgColor rgb="FFFFFFFF"/>
      </patternFill>
    </fill>
    <fill>
      <patternFill patternType="solid">
        <fgColor rgb="FFEBEEF7"/>
      </patternFill>
    </fill>
    <fill>
      <patternFill patternType="solid">
        <fgColor rgb="FFE8F1EE"/>
      </patternFill>
    </fill>
    <fill>
      <patternFill patternType="solid">
        <fgColor rgb="FFFCEFE1"/>
      </patternFill>
    </fill>
    <fill>
      <patternFill patternType="solid">
        <fgColor rgb="FFF7F7F7"/>
      </patternFill>
    </fill>
    <fill>
      <patternFill patternType="solid">
        <fgColor rgb="FF1B7A6B"/>
        <bgColor indexed="64"/>
      </patternFill>
    </fill>
    <fill>
      <patternFill patternType="solid">
        <fgColor rgb="FF003399"/>
        <bgColor indexed="64"/>
      </patternFill>
    </fill>
    <fill>
      <patternFill patternType="solid">
        <fgColor theme="5"/>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auto="1"/>
      </left>
      <right style="thin">
        <color auto="1"/>
      </right>
      <top style="thin">
        <color auto="1"/>
      </top>
      <bottom/>
      <diagonal/>
    </border>
    <border>
      <left style="thin">
        <color rgb="FF000000"/>
      </left>
      <right/>
      <top style="thin">
        <color auto="1"/>
      </top>
      <bottom/>
      <diagonal/>
    </border>
    <border>
      <left/>
      <right style="thin">
        <color rgb="FF000000"/>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top style="thin">
        <color auto="1"/>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auto="1"/>
      </bottom>
      <diagonal/>
    </border>
    <border>
      <left style="thin">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43" fontId="20" fillId="0" borderId="0"/>
    <xf numFmtId="9" fontId="20" fillId="0" borderId="0"/>
    <xf numFmtId="43" fontId="20" fillId="0" borderId="0"/>
    <xf numFmtId="0" fontId="46" fillId="0" borderId="0" applyNumberFormat="0" applyFill="0" applyBorder="0" applyAlignment="0" applyProtection="0"/>
  </cellStyleXfs>
  <cellXfs count="351">
    <xf numFmtId="0" fontId="0" fillId="0" borderId="0" xfId="0"/>
    <xf numFmtId="0" fontId="0" fillId="6" borderId="0" xfId="0" applyFill="1"/>
    <xf numFmtId="0" fontId="0" fillId="9" borderId="0" xfId="0" applyFill="1"/>
    <xf numFmtId="0" fontId="4" fillId="0" borderId="1" xfId="0" applyFont="1" applyBorder="1" applyAlignment="1">
      <alignment horizontal="center" vertical="center" wrapText="1"/>
    </xf>
    <xf numFmtId="0" fontId="29" fillId="11" borderId="15"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6" fillId="2" borderId="13" xfId="0" applyFont="1" applyFill="1" applyBorder="1" applyAlignment="1">
      <alignment horizontal="center" vertical="center" wrapText="1"/>
    </xf>
    <xf numFmtId="0" fontId="10" fillId="0" borderId="14" xfId="0" applyFont="1" applyBorder="1" applyAlignment="1">
      <alignment horizontal="left" vertical="center" wrapText="1"/>
    </xf>
    <xf numFmtId="0" fontId="1" fillId="6" borderId="0" xfId="0" applyFont="1" applyFill="1" applyAlignment="1">
      <alignment vertical="center"/>
    </xf>
    <xf numFmtId="0" fontId="2" fillId="6" borderId="0" xfId="0" applyFont="1" applyFill="1"/>
    <xf numFmtId="0" fontId="13" fillId="7" borderId="34" xfId="0" applyFont="1" applyFill="1" applyBorder="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7" fillId="9" borderId="0" xfId="4" applyFont="1" applyFill="1" applyBorder="1" applyProtection="1"/>
    <xf numFmtId="0" fontId="4" fillId="0" borderId="5" xfId="0" applyFont="1" applyBorder="1" applyAlignment="1">
      <alignment vertical="center" wrapText="1"/>
    </xf>
    <xf numFmtId="0" fontId="21" fillId="0" borderId="0" xfId="0" applyFont="1" applyAlignment="1">
      <alignment vertical="center"/>
    </xf>
    <xf numFmtId="0" fontId="21" fillId="0" borderId="0" xfId="0" applyFont="1" applyAlignment="1">
      <alignment vertical="top" wrapText="1"/>
    </xf>
    <xf numFmtId="0" fontId="4" fillId="0" borderId="5" xfId="0" applyFont="1" applyBorder="1" applyAlignment="1">
      <alignment horizontal="left" vertical="center" wrapText="1"/>
    </xf>
    <xf numFmtId="0" fontId="17" fillId="0" borderId="4" xfId="0" applyFont="1" applyBorder="1"/>
    <xf numFmtId="0" fontId="21" fillId="0" borderId="0" xfId="0" applyFont="1" applyAlignment="1">
      <alignment vertical="center" wrapText="1"/>
    </xf>
    <xf numFmtId="0" fontId="17" fillId="0" borderId="0" xfId="0" applyFont="1" applyAlignment="1">
      <alignment vertical="center"/>
    </xf>
    <xf numFmtId="0" fontId="6"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21" fillId="0" borderId="10" xfId="0" applyFont="1" applyBorder="1" applyAlignment="1">
      <alignment horizontal="center" vertical="center"/>
    </xf>
    <xf numFmtId="164" fontId="4" fillId="0" borderId="11" xfId="0" applyNumberFormat="1" applyFont="1" applyBorder="1" applyAlignment="1">
      <alignment horizontal="center" vertical="center"/>
    </xf>
    <xf numFmtId="0" fontId="8" fillId="4" borderId="3" xfId="0" applyFont="1" applyFill="1" applyBorder="1" applyAlignment="1" applyProtection="1">
      <alignment horizontal="center" vertical="center" wrapText="1"/>
      <protection locked="0"/>
    </xf>
    <xf numFmtId="0" fontId="24" fillId="0" borderId="11" xfId="0" applyFont="1" applyBorder="1" applyAlignment="1">
      <alignment vertical="center" wrapText="1"/>
    </xf>
    <xf numFmtId="0" fontId="21" fillId="0" borderId="7" xfId="0" applyFont="1" applyBorder="1" applyAlignment="1">
      <alignment horizontal="center" vertical="center"/>
    </xf>
    <xf numFmtId="164" fontId="4" fillId="0" borderId="1" xfId="0" applyNumberFormat="1" applyFont="1" applyBorder="1" applyAlignment="1">
      <alignment horizontal="center" vertical="center"/>
    </xf>
    <xf numFmtId="0" fontId="24" fillId="0" borderId="1" xfId="0" applyFont="1" applyBorder="1" applyAlignment="1">
      <alignment vertical="center" wrapText="1"/>
    </xf>
    <xf numFmtId="0" fontId="8" fillId="4" borderId="13" xfId="0" applyFont="1" applyFill="1" applyBorder="1" applyAlignment="1" applyProtection="1">
      <alignment horizontal="center" vertical="center" wrapText="1"/>
      <protection locked="0"/>
    </xf>
    <xf numFmtId="0" fontId="4" fillId="0" borderId="7" xfId="0" applyFont="1" applyBorder="1" applyAlignment="1">
      <alignment horizontal="left" vertical="center" wrapText="1"/>
    </xf>
    <xf numFmtId="0" fontId="21" fillId="0" borderId="2" xfId="0" applyFont="1" applyBorder="1" applyAlignment="1">
      <alignment horizontal="center" vertical="center"/>
    </xf>
    <xf numFmtId="0" fontId="21" fillId="0" borderId="5" xfId="0" applyFont="1" applyBorder="1" applyAlignment="1">
      <alignment horizontal="center" vertical="center"/>
    </xf>
    <xf numFmtId="0" fontId="24" fillId="0" borderId="13" xfId="0" applyFont="1" applyBorder="1" applyAlignment="1">
      <alignment vertical="center" wrapText="1"/>
    </xf>
    <xf numFmtId="0" fontId="8" fillId="4" borderId="14" xfId="0" applyFont="1" applyFill="1" applyBorder="1" applyAlignment="1" applyProtection="1">
      <alignment horizontal="center" vertical="center" wrapText="1"/>
      <protection locked="0"/>
    </xf>
    <xf numFmtId="0" fontId="21" fillId="0" borderId="14" xfId="0" applyFont="1" applyBorder="1" applyAlignment="1">
      <alignment horizontal="center" vertical="center"/>
    </xf>
    <xf numFmtId="164" fontId="4" fillId="0" borderId="3" xfId="0" applyNumberFormat="1" applyFont="1" applyBorder="1" applyAlignment="1">
      <alignment horizontal="center" vertical="center"/>
    </xf>
    <xf numFmtId="0" fontId="8" fillId="4" borderId="2" xfId="0" applyFont="1" applyFill="1" applyBorder="1" applyAlignment="1" applyProtection="1">
      <alignment horizontal="center" vertical="center" wrapText="1"/>
      <protection locked="0"/>
    </xf>
    <xf numFmtId="0" fontId="24" fillId="0" borderId="14" xfId="0" applyFont="1" applyBorder="1" applyAlignment="1">
      <alignment vertical="center" wrapText="1"/>
    </xf>
    <xf numFmtId="0" fontId="8" fillId="9" borderId="0" xfId="0" applyFont="1" applyFill="1"/>
    <xf numFmtId="3" fontId="8" fillId="4" borderId="1" xfId="0" applyNumberFormat="1" applyFont="1" applyFill="1" applyBorder="1" applyAlignment="1" applyProtection="1">
      <alignment horizontal="right" vertical="center" wrapText="1"/>
      <protection locked="0"/>
    </xf>
    <xf numFmtId="0" fontId="22" fillId="0" borderId="7" xfId="0" applyFont="1" applyBorder="1" applyAlignment="1">
      <alignment horizontal="center" vertical="center"/>
    </xf>
    <xf numFmtId="0" fontId="8" fillId="8" borderId="14" xfId="0" applyFont="1" applyFill="1" applyBorder="1" applyAlignment="1" applyProtection="1">
      <alignment horizontal="center" vertical="center"/>
      <protection locked="0"/>
    </xf>
    <xf numFmtId="0" fontId="10" fillId="0" borderId="1" xfId="0" applyFont="1" applyBorder="1" applyAlignment="1">
      <alignment horizontal="left" vertical="center" wrapText="1"/>
    </xf>
    <xf numFmtId="0" fontId="4" fillId="0" borderId="13" xfId="0" applyFont="1" applyBorder="1" applyAlignment="1">
      <alignment horizontal="left" vertical="center" wrapText="1"/>
    </xf>
    <xf numFmtId="0" fontId="21" fillId="0" borderId="8" xfId="0" applyFont="1" applyBorder="1" applyAlignment="1">
      <alignment horizontal="center" vertical="center"/>
    </xf>
    <xf numFmtId="0" fontId="8" fillId="8"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wrapText="1"/>
      <protection locked="0"/>
    </xf>
    <xf numFmtId="0" fontId="10" fillId="0" borderId="13" xfId="0" applyFont="1" applyBorder="1" applyAlignment="1">
      <alignment horizontal="left" vertical="center" wrapText="1"/>
    </xf>
    <xf numFmtId="0" fontId="4" fillId="0" borderId="14" xfId="0" applyFont="1" applyBorder="1" applyAlignment="1">
      <alignment horizontal="left" vertical="center" wrapText="1"/>
    </xf>
    <xf numFmtId="3" fontId="8" fillId="4" borderId="14" xfId="0" applyNumberFormat="1" applyFont="1" applyFill="1" applyBorder="1" applyAlignment="1" applyProtection="1">
      <alignment horizontal="right" vertical="center" wrapText="1"/>
      <protection locked="0"/>
    </xf>
    <xf numFmtId="165" fontId="8" fillId="4" borderId="1" xfId="0" applyNumberFormat="1" applyFont="1" applyFill="1" applyBorder="1" applyAlignment="1" applyProtection="1">
      <alignment horizontal="right" vertical="center" wrapText="1"/>
      <protection locked="0"/>
    </xf>
    <xf numFmtId="0" fontId="8" fillId="4" borderId="3" xfId="0" applyFont="1" applyFill="1" applyBorder="1" applyAlignment="1" applyProtection="1">
      <alignment horizontal="left" vertical="center" wrapText="1"/>
      <protection locked="0"/>
    </xf>
    <xf numFmtId="0" fontId="26" fillId="0" borderId="14" xfId="0" applyFont="1" applyBorder="1" applyAlignment="1">
      <alignment vertical="center" wrapText="1"/>
    </xf>
    <xf numFmtId="3" fontId="8" fillId="4" borderId="13" xfId="0" applyNumberFormat="1" applyFont="1" applyFill="1" applyBorder="1" applyAlignment="1" applyProtection="1">
      <alignment horizontal="right" vertical="center" wrapText="1"/>
      <protection locked="0"/>
    </xf>
    <xf numFmtId="0" fontId="21" fillId="0" borderId="17" xfId="0" applyFont="1" applyBorder="1" applyAlignment="1">
      <alignment horizontal="center" vertical="center"/>
    </xf>
    <xf numFmtId="0" fontId="8" fillId="4" borderId="18" xfId="0" applyFont="1" applyFill="1" applyBorder="1" applyAlignment="1" applyProtection="1">
      <alignment horizontal="left" vertical="center" wrapText="1"/>
      <protection locked="0"/>
    </xf>
    <xf numFmtId="166" fontId="4" fillId="0" borderId="14" xfId="0" applyNumberFormat="1" applyFont="1" applyBorder="1" applyAlignment="1">
      <alignment horizontal="right" vertical="center"/>
    </xf>
    <xf numFmtId="0" fontId="4" fillId="0" borderId="14" xfId="0" applyFont="1" applyBorder="1" applyAlignment="1">
      <alignment horizontal="center" vertical="center" wrapText="1"/>
    </xf>
    <xf numFmtId="0" fontId="8" fillId="13" borderId="14" xfId="0" applyFont="1" applyFill="1" applyBorder="1" applyAlignment="1" applyProtection="1">
      <alignment horizontal="center" vertical="center"/>
      <protection locked="0"/>
    </xf>
    <xf numFmtId="0" fontId="22" fillId="0" borderId="14" xfId="0" applyFont="1" applyBorder="1" applyAlignment="1">
      <alignment vertical="center" wrapText="1"/>
    </xf>
    <xf numFmtId="164" fontId="8" fillId="13" borderId="14" xfId="1" applyNumberFormat="1" applyFont="1" applyFill="1" applyBorder="1" applyAlignment="1" applyProtection="1">
      <alignment vertical="center"/>
      <protection locked="0"/>
    </xf>
    <xf numFmtId="0" fontId="22" fillId="0" borderId="14" xfId="0" applyFont="1" applyBorder="1" applyAlignment="1">
      <alignment horizontal="center" vertical="center"/>
    </xf>
    <xf numFmtId="0" fontId="8" fillId="13" borderId="34" xfId="0" applyFont="1" applyFill="1" applyBorder="1" applyAlignment="1" applyProtection="1">
      <alignment horizontal="center" vertical="center"/>
      <protection locked="0"/>
    </xf>
    <xf numFmtId="0" fontId="26" fillId="0" borderId="1" xfId="0" applyFont="1" applyBorder="1" applyAlignment="1">
      <alignment vertical="center" wrapText="1"/>
    </xf>
    <xf numFmtId="0" fontId="22" fillId="0" borderId="15" xfId="0" applyFont="1" applyBorder="1" applyAlignment="1">
      <alignment vertical="center" wrapText="1"/>
    </xf>
    <xf numFmtId="0" fontId="8" fillId="13" borderId="15" xfId="0" applyFont="1" applyFill="1" applyBorder="1" applyAlignment="1" applyProtection="1">
      <alignment horizontal="right" vertical="center"/>
      <protection locked="0"/>
    </xf>
    <xf numFmtId="0" fontId="22" fillId="0" borderId="15" xfId="0" applyFont="1" applyBorder="1" applyAlignment="1">
      <alignment horizontal="center" vertical="center"/>
    </xf>
    <xf numFmtId="0" fontId="8" fillId="8" borderId="15" xfId="0" applyFont="1" applyFill="1" applyBorder="1" applyAlignment="1" applyProtection="1">
      <alignment horizontal="center" vertical="center"/>
      <protection locked="0"/>
    </xf>
    <xf numFmtId="0" fontId="8" fillId="13" borderId="15" xfId="0" applyFont="1" applyFill="1" applyBorder="1" applyAlignment="1" applyProtection="1">
      <alignment horizontal="center" vertical="center"/>
      <protection locked="0"/>
    </xf>
    <xf numFmtId="0" fontId="26" fillId="0" borderId="15" xfId="0" applyFont="1" applyBorder="1" applyAlignment="1">
      <alignment vertical="center" wrapText="1"/>
    </xf>
    <xf numFmtId="0" fontId="22" fillId="0" borderId="10" xfId="0" applyFont="1" applyBorder="1" applyAlignment="1">
      <alignment vertical="center" wrapText="1"/>
    </xf>
    <xf numFmtId="0" fontId="8" fillId="8" borderId="11" xfId="0" applyFont="1" applyFill="1" applyBorder="1" applyAlignment="1" applyProtection="1">
      <alignment horizontal="center" vertical="center"/>
      <protection locked="0"/>
    </xf>
    <xf numFmtId="0" fontId="22" fillId="0" borderId="4" xfId="0" applyFont="1" applyBorder="1" applyAlignment="1">
      <alignment horizontal="center" vertical="center"/>
    </xf>
    <xf numFmtId="0" fontId="8" fillId="13" borderId="12" xfId="0" applyFont="1" applyFill="1" applyBorder="1" applyAlignment="1" applyProtection="1">
      <alignment horizontal="center" vertical="center"/>
      <protection locked="0"/>
    </xf>
    <xf numFmtId="0" fontId="22" fillId="0" borderId="1" xfId="0" applyFont="1" applyBorder="1" applyAlignment="1">
      <alignment vertical="center" wrapText="1"/>
    </xf>
    <xf numFmtId="0" fontId="8" fillId="13" borderId="11" xfId="0" applyFont="1" applyFill="1" applyBorder="1" applyAlignment="1" applyProtection="1">
      <alignment horizontal="right" vertical="center"/>
      <protection locked="0"/>
    </xf>
    <xf numFmtId="0" fontId="8" fillId="13" borderId="3" xfId="0" applyFont="1" applyFill="1" applyBorder="1" applyAlignment="1" applyProtection="1">
      <alignment horizontal="center" vertical="center"/>
      <protection locked="0"/>
    </xf>
    <xf numFmtId="0" fontId="22" fillId="0" borderId="7" xfId="0" applyFont="1" applyBorder="1" applyAlignment="1">
      <alignment vertical="center" wrapText="1"/>
    </xf>
    <xf numFmtId="0" fontId="22" fillId="0" borderId="2" xfId="0" applyFont="1" applyBorder="1" applyAlignment="1">
      <alignment horizontal="center" vertical="center"/>
    </xf>
    <xf numFmtId="0" fontId="22" fillId="0" borderId="8" xfId="0" applyFont="1" applyBorder="1" applyAlignment="1">
      <alignment vertical="center" wrapText="1"/>
    </xf>
    <xf numFmtId="0" fontId="22" fillId="0" borderId="5" xfId="0" applyFont="1" applyBorder="1" applyAlignment="1">
      <alignment horizontal="center" vertical="center"/>
    </xf>
    <xf numFmtId="164" fontId="4" fillId="0" borderId="6" xfId="0" applyNumberFormat="1" applyFont="1" applyBorder="1" applyAlignment="1">
      <alignment horizontal="center" vertical="center"/>
    </xf>
    <xf numFmtId="0" fontId="8" fillId="13" borderId="18" xfId="0" applyFont="1" applyFill="1" applyBorder="1" applyAlignment="1" applyProtection="1">
      <alignment horizontal="center" vertical="center"/>
      <protection locked="0"/>
    </xf>
    <xf numFmtId="164" fontId="4" fillId="0" borderId="15" xfId="0" applyNumberFormat="1" applyFont="1" applyBorder="1" applyAlignment="1">
      <alignment horizontal="center" vertical="center"/>
    </xf>
    <xf numFmtId="0" fontId="8" fillId="8" borderId="1" xfId="0" applyFont="1" applyFill="1" applyBorder="1" applyAlignment="1" applyProtection="1">
      <alignment horizontal="center" vertical="center"/>
      <protection locked="0"/>
    </xf>
    <xf numFmtId="1" fontId="8" fillId="8" borderId="15" xfId="0" applyNumberFormat="1" applyFont="1" applyFill="1" applyBorder="1" applyAlignment="1" applyProtection="1">
      <alignment vertical="center"/>
      <protection locked="0"/>
    </xf>
    <xf numFmtId="0" fontId="4" fillId="0" borderId="15" xfId="0" applyFont="1" applyBorder="1" applyAlignment="1">
      <alignment horizontal="left" vertical="center" wrapText="1"/>
    </xf>
    <xf numFmtId="0" fontId="9" fillId="0" borderId="15" xfId="0" applyFont="1" applyBorder="1" applyAlignment="1">
      <alignment horizontal="center" vertical="center" wrapText="1"/>
    </xf>
    <xf numFmtId="0" fontId="8" fillId="4" borderId="15" xfId="0" applyFont="1" applyFill="1" applyBorder="1" applyAlignment="1" applyProtection="1">
      <alignment horizontal="left" vertical="center" wrapText="1"/>
      <protection locked="0"/>
    </xf>
    <xf numFmtId="0" fontId="11" fillId="17" borderId="1" xfId="0" applyFont="1" applyFill="1" applyBorder="1" applyAlignment="1">
      <alignment horizontal="left" vertical="center" wrapText="1"/>
    </xf>
    <xf numFmtId="0" fontId="11" fillId="17" borderId="13" xfId="0" applyFont="1" applyFill="1" applyBorder="1" applyAlignment="1">
      <alignment horizontal="left" vertical="center" wrapText="1"/>
    </xf>
    <xf numFmtId="0" fontId="11" fillId="17" borderId="15" xfId="0" applyFont="1" applyFill="1" applyBorder="1" applyAlignment="1">
      <alignment horizontal="left" vertical="center" wrapText="1"/>
    </xf>
    <xf numFmtId="0" fontId="11" fillId="9" borderId="0" xfId="0" applyFont="1" applyFill="1" applyAlignment="1">
      <alignment horizontal="left" vertical="center" wrapText="1"/>
    </xf>
    <xf numFmtId="3" fontId="4" fillId="9" borderId="0" xfId="0" applyNumberFormat="1" applyFont="1" applyFill="1" applyAlignment="1">
      <alignment horizontal="right" vertical="center" wrapText="1"/>
    </xf>
    <xf numFmtId="0" fontId="10" fillId="9" borderId="0" xfId="0" applyFont="1" applyFill="1" applyAlignment="1">
      <alignment horizontal="left" vertical="center" wrapText="1"/>
    </xf>
    <xf numFmtId="0" fontId="11" fillId="10" borderId="15" xfId="0" applyFont="1" applyFill="1" applyBorder="1" applyAlignment="1">
      <alignment horizontal="left" vertical="center" wrapText="1"/>
    </xf>
    <xf numFmtId="3" fontId="12" fillId="10" borderId="15" xfId="0" applyNumberFormat="1" applyFont="1" applyFill="1" applyBorder="1" applyAlignment="1">
      <alignment horizontal="right" vertical="center" wrapText="1"/>
    </xf>
    <xf numFmtId="0" fontId="4" fillId="0" borderId="1" xfId="0" quotePrefix="1" applyFont="1" applyBorder="1" applyAlignment="1">
      <alignment horizontal="center" vertical="center" wrapText="1"/>
    </xf>
    <xf numFmtId="3" fontId="12" fillId="0" borderId="1" xfId="0" quotePrefix="1" applyNumberFormat="1" applyFont="1" applyBorder="1" applyAlignment="1">
      <alignment horizontal="right" vertical="center" wrapText="1"/>
    </xf>
    <xf numFmtId="3" fontId="12" fillId="0" borderId="1" xfId="0" applyNumberFormat="1" applyFont="1" applyBorder="1" applyAlignment="1">
      <alignment horizontal="right" vertical="center" wrapText="1"/>
    </xf>
    <xf numFmtId="0" fontId="30" fillId="0" borderId="1" xfId="0" applyFont="1" applyBorder="1" applyAlignment="1">
      <alignment horizontal="left" vertical="center" wrapText="1"/>
    </xf>
    <xf numFmtId="168" fontId="31" fillId="8" borderId="1" xfId="0" applyNumberFormat="1" applyFont="1" applyFill="1" applyBorder="1" applyAlignment="1" applyProtection="1">
      <alignment horizontal="right" vertical="center" wrapText="1"/>
      <protection locked="0"/>
    </xf>
    <xf numFmtId="170" fontId="12" fillId="0" borderId="11" xfId="0" applyNumberFormat="1" applyFont="1" applyBorder="1" applyAlignment="1">
      <alignment horizontal="right" vertical="center" wrapText="1"/>
    </xf>
    <xf numFmtId="171" fontId="12" fillId="0" borderId="11" xfId="0" applyNumberFormat="1" applyFont="1" applyBorder="1" applyAlignment="1">
      <alignment horizontal="right" vertical="center" wrapText="1"/>
    </xf>
    <xf numFmtId="0" fontId="4" fillId="0" borderId="11" xfId="0" applyFont="1" applyBorder="1" applyAlignment="1">
      <alignment horizontal="left" vertical="center" wrapText="1"/>
    </xf>
    <xf numFmtId="3" fontId="43" fillId="0" borderId="11" xfId="0" applyNumberFormat="1" applyFont="1" applyBorder="1" applyAlignment="1">
      <alignment horizontal="right" vertical="center" wrapText="1"/>
    </xf>
    <xf numFmtId="3" fontId="12" fillId="0" borderId="11" xfId="0" applyNumberFormat="1" applyFont="1" applyBorder="1" applyAlignment="1">
      <alignment horizontal="right" vertical="center" wrapText="1"/>
    </xf>
    <xf numFmtId="0" fontId="30" fillId="0" borderId="11" xfId="0" applyFont="1" applyBorder="1" applyAlignment="1">
      <alignment horizontal="left" vertical="center" wrapText="1"/>
    </xf>
    <xf numFmtId="168" fontId="31" fillId="8" borderId="11" xfId="0" applyNumberFormat="1" applyFont="1" applyFill="1" applyBorder="1" applyAlignment="1" applyProtection="1">
      <alignment horizontal="right" vertical="center" wrapText="1"/>
      <protection locked="0"/>
    </xf>
    <xf numFmtId="4" fontId="12" fillId="0" borderId="1" xfId="0" applyNumberFormat="1" applyFont="1" applyBorder="1" applyAlignment="1">
      <alignment horizontal="right" vertical="center" wrapText="1"/>
    </xf>
    <xf numFmtId="170" fontId="12" fillId="0" borderId="1" xfId="0" applyNumberFormat="1" applyFont="1" applyBorder="1" applyAlignment="1">
      <alignment horizontal="right" vertical="center" wrapText="1"/>
    </xf>
    <xf numFmtId="171" fontId="12" fillId="0" borderId="1" xfId="0" applyNumberFormat="1" applyFont="1" applyBorder="1" applyAlignment="1">
      <alignment horizontal="right" vertical="center" wrapText="1"/>
    </xf>
    <xf numFmtId="0" fontId="11" fillId="10" borderId="1" xfId="0" applyFont="1" applyFill="1" applyBorder="1" applyAlignment="1">
      <alignment horizontal="left" vertical="center" wrapText="1"/>
    </xf>
    <xf numFmtId="0" fontId="4" fillId="10" borderId="1" xfId="0" applyFont="1" applyFill="1" applyBorder="1" applyAlignment="1">
      <alignment horizontal="center" vertical="center" wrapText="1"/>
    </xf>
    <xf numFmtId="0" fontId="4" fillId="10" borderId="1" xfId="0" applyFont="1" applyFill="1" applyBorder="1" applyAlignment="1">
      <alignment horizontal="left" vertical="center" wrapText="1"/>
    </xf>
    <xf numFmtId="0" fontId="0" fillId="10" borderId="1" xfId="0" applyFill="1" applyBorder="1"/>
    <xf numFmtId="0" fontId="19" fillId="19" borderId="1" xfId="0" applyFont="1" applyFill="1" applyBorder="1"/>
    <xf numFmtId="167" fontId="14" fillId="10" borderId="1" xfId="0" applyNumberFormat="1" applyFont="1" applyFill="1" applyBorder="1" applyAlignment="1">
      <alignment horizontal="right" vertical="center" wrapText="1"/>
    </xf>
    <xf numFmtId="167" fontId="8" fillId="13" borderId="1" xfId="3" applyNumberFormat="1" applyFont="1" applyFill="1" applyBorder="1" applyAlignment="1" applyProtection="1">
      <alignment horizontal="right" vertical="center"/>
      <protection locked="0"/>
    </xf>
    <xf numFmtId="168" fontId="8" fillId="13" borderId="1" xfId="3" applyNumberFormat="1" applyFont="1" applyFill="1" applyBorder="1" applyAlignment="1" applyProtection="1">
      <alignment vertical="center"/>
      <protection locked="0"/>
    </xf>
    <xf numFmtId="167" fontId="12" fillId="0" borderId="1" xfId="0" applyNumberFormat="1" applyFont="1" applyBorder="1" applyAlignment="1">
      <alignment horizontal="right" vertical="center" wrapText="1"/>
    </xf>
    <xf numFmtId="171" fontId="8" fillId="13" borderId="1" xfId="3" applyNumberFormat="1" applyFont="1" applyFill="1" applyBorder="1" applyAlignment="1" applyProtection="1">
      <alignment vertical="center"/>
      <protection locked="0"/>
    </xf>
    <xf numFmtId="1" fontId="43" fillId="0" borderId="1" xfId="0" applyNumberFormat="1" applyFont="1" applyBorder="1" applyAlignment="1">
      <alignment horizontal="center" vertical="center" wrapText="1"/>
    </xf>
    <xf numFmtId="0" fontId="13" fillId="20" borderId="1" xfId="0" applyFont="1" applyFill="1" applyBorder="1" applyAlignment="1">
      <alignment horizontal="left" vertical="center" wrapText="1"/>
    </xf>
    <xf numFmtId="0" fontId="32" fillId="20" borderId="1" xfId="0" applyFont="1" applyFill="1" applyBorder="1" applyAlignment="1">
      <alignment horizontal="center" vertical="center" wrapText="1"/>
    </xf>
    <xf numFmtId="0" fontId="32" fillId="20" borderId="1" xfId="0" applyFont="1" applyFill="1" applyBorder="1" applyAlignment="1">
      <alignment horizontal="left" vertical="center" wrapText="1"/>
    </xf>
    <xf numFmtId="0" fontId="33" fillId="20" borderId="1" xfId="0" applyFont="1" applyFill="1" applyBorder="1"/>
    <xf numFmtId="0" fontId="33" fillId="21" borderId="1" xfId="0" applyFont="1" applyFill="1" applyBorder="1"/>
    <xf numFmtId="0" fontId="33" fillId="21" borderId="1" xfId="0" applyFont="1" applyFill="1" applyBorder="1" applyAlignment="1">
      <alignment horizontal="right" vertical="center"/>
    </xf>
    <xf numFmtId="9" fontId="8" fillId="13" borderId="12" xfId="2" applyFont="1" applyFill="1" applyBorder="1" applyAlignment="1" applyProtection="1">
      <alignment horizontal="center" vertical="center"/>
      <protection locked="0"/>
    </xf>
    <xf numFmtId="167" fontId="13" fillId="20" borderId="1" xfId="0" applyNumberFormat="1" applyFont="1" applyFill="1" applyBorder="1" applyAlignment="1">
      <alignment horizontal="right" vertical="center" wrapText="1"/>
    </xf>
    <xf numFmtId="0" fontId="33" fillId="21" borderId="1" xfId="0" applyFont="1" applyFill="1" applyBorder="1" applyAlignment="1">
      <alignment horizontal="center" vertical="center"/>
    </xf>
    <xf numFmtId="0" fontId="16" fillId="0" borderId="1" xfId="0" applyFont="1" applyBorder="1" applyAlignment="1">
      <alignment horizontal="left" vertical="center" wrapText="1"/>
    </xf>
    <xf numFmtId="2" fontId="12" fillId="0" borderId="1" xfId="0" applyNumberFormat="1" applyFont="1" applyBorder="1" applyAlignment="1">
      <alignment horizontal="right" vertical="center" wrapText="1"/>
    </xf>
    <xf numFmtId="0" fontId="13" fillId="21" borderId="13" xfId="0" applyFont="1" applyFill="1" applyBorder="1" applyAlignment="1">
      <alignment horizontal="left" vertical="center" wrapText="1"/>
    </xf>
    <xf numFmtId="0" fontId="32" fillId="20" borderId="13" xfId="0" applyFont="1" applyFill="1" applyBorder="1" applyAlignment="1">
      <alignment horizontal="center" vertical="center" wrapText="1"/>
    </xf>
    <xf numFmtId="0" fontId="32" fillId="20" borderId="13" xfId="0" applyFont="1" applyFill="1" applyBorder="1" applyAlignment="1">
      <alignment horizontal="left" vertical="center" wrapText="1"/>
    </xf>
    <xf numFmtId="0" fontId="33" fillId="20" borderId="13" xfId="0" applyFont="1" applyFill="1" applyBorder="1"/>
    <xf numFmtId="0" fontId="33" fillId="21" borderId="13" xfId="0" applyFont="1" applyFill="1" applyBorder="1"/>
    <xf numFmtId="10" fontId="13" fillId="20" borderId="13" xfId="0" applyNumberFormat="1" applyFont="1" applyFill="1" applyBorder="1" applyAlignment="1">
      <alignment horizontal="right" vertical="center" wrapText="1"/>
    </xf>
    <xf numFmtId="0" fontId="13" fillId="21" borderId="15" xfId="0" applyFont="1" applyFill="1" applyBorder="1" applyAlignment="1">
      <alignment horizontal="left" vertical="center" wrapText="1"/>
    </xf>
    <xf numFmtId="0" fontId="32" fillId="21" borderId="15" xfId="0" applyFont="1" applyFill="1" applyBorder="1" applyAlignment="1">
      <alignment horizontal="left" vertical="center" wrapText="1"/>
    </xf>
    <xf numFmtId="0" fontId="33" fillId="21" borderId="15" xfId="0" applyFont="1" applyFill="1" applyBorder="1"/>
    <xf numFmtId="0" fontId="13" fillId="21" borderId="15" xfId="0" applyFont="1" applyFill="1" applyBorder="1" applyAlignment="1">
      <alignment horizontal="center" vertical="center" wrapText="1"/>
    </xf>
    <xf numFmtId="3" fontId="22" fillId="0" borderId="1" xfId="0" quotePrefix="1" applyNumberFormat="1" applyFont="1" applyBorder="1" applyAlignment="1">
      <alignment horizontal="right" vertical="center" wrapText="1"/>
    </xf>
    <xf numFmtId="3" fontId="22" fillId="0" borderId="11" xfId="0" applyNumberFormat="1" applyFont="1" applyBorder="1" applyAlignment="1">
      <alignment horizontal="right" vertical="center" wrapText="1"/>
    </xf>
    <xf numFmtId="4" fontId="22" fillId="0" borderId="1" xfId="0" applyNumberFormat="1" applyFont="1" applyBorder="1" applyAlignment="1">
      <alignment horizontal="right" vertical="center" wrapText="1"/>
    </xf>
    <xf numFmtId="3" fontId="22" fillId="0" borderId="1" xfId="0" applyNumberFormat="1" applyFont="1" applyBorder="1" applyAlignment="1">
      <alignment horizontal="righ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0" fillId="0" borderId="1" xfId="0" applyBorder="1"/>
    <xf numFmtId="0" fontId="36" fillId="20" borderId="1" xfId="0" applyFont="1" applyFill="1" applyBorder="1" applyAlignment="1">
      <alignment horizontal="center" vertical="center" wrapText="1"/>
    </xf>
    <xf numFmtId="171" fontId="32" fillId="20" borderId="1" xfId="0" applyNumberFormat="1" applyFont="1" applyFill="1" applyBorder="1" applyAlignment="1">
      <alignment horizontal="right" vertical="center" wrapText="1"/>
    </xf>
    <xf numFmtId="0" fontId="39" fillId="9" borderId="0" xfId="0" applyFont="1" applyFill="1" applyAlignment="1">
      <alignment horizontal="left" vertical="center" wrapText="1"/>
    </xf>
    <xf numFmtId="3" fontId="40" fillId="9" borderId="0" xfId="0" applyNumberFormat="1" applyFont="1" applyFill="1" applyAlignment="1">
      <alignment horizontal="right" vertical="center" wrapText="1"/>
    </xf>
    <xf numFmtId="0" fontId="41" fillId="9" borderId="0" xfId="0" applyFont="1" applyFill="1" applyAlignment="1">
      <alignment horizontal="left" vertical="center" wrapText="1"/>
    </xf>
    <xf numFmtId="3" fontId="42" fillId="10" borderId="15" xfId="0" applyNumberFormat="1" applyFont="1" applyFill="1" applyBorder="1" applyAlignment="1">
      <alignment horizontal="right" vertical="center" wrapText="1"/>
    </xf>
    <xf numFmtId="0" fontId="4" fillId="0" borderId="13" xfId="0" quotePrefix="1" applyFont="1" applyBorder="1" applyAlignment="1">
      <alignment horizontal="center" vertical="center" wrapText="1"/>
    </xf>
    <xf numFmtId="3" fontId="12" fillId="0" borderId="13" xfId="0" applyNumberFormat="1" applyFont="1" applyBorder="1" applyAlignment="1">
      <alignment horizontal="right" vertical="center" wrapText="1"/>
    </xf>
    <xf numFmtId="0" fontId="30" fillId="0" borderId="13" xfId="0" applyFont="1" applyBorder="1" applyAlignment="1">
      <alignment horizontal="left" vertical="center" wrapText="1"/>
    </xf>
    <xf numFmtId="168" fontId="31" fillId="8" borderId="13" xfId="0" applyNumberFormat="1" applyFont="1" applyFill="1" applyBorder="1" applyAlignment="1" applyProtection="1">
      <alignment horizontal="right" vertical="center" wrapText="1"/>
      <protection locked="0"/>
    </xf>
    <xf numFmtId="170" fontId="12" fillId="0" borderId="13" xfId="0" applyNumberFormat="1" applyFont="1" applyBorder="1" applyAlignment="1">
      <alignment horizontal="right" vertical="center" wrapText="1"/>
    </xf>
    <xf numFmtId="0" fontId="8" fillId="13" borderId="25" xfId="0" applyFont="1" applyFill="1" applyBorder="1" applyAlignment="1" applyProtection="1">
      <alignment horizontal="center" vertical="center"/>
      <protection locked="0"/>
    </xf>
    <xf numFmtId="171" fontId="12" fillId="0" borderId="13" xfId="0" applyNumberFormat="1" applyFont="1" applyBorder="1" applyAlignment="1">
      <alignment horizontal="right" vertical="center" wrapText="1"/>
    </xf>
    <xf numFmtId="3" fontId="12" fillId="0" borderId="15" xfId="0" applyNumberFormat="1" applyFont="1" applyBorder="1" applyAlignment="1">
      <alignment horizontal="right" vertical="center" wrapText="1"/>
    </xf>
    <xf numFmtId="0" fontId="30" fillId="0" borderId="15" xfId="0" applyFont="1" applyBorder="1" applyAlignment="1">
      <alignment horizontal="left" vertical="center" wrapText="1"/>
    </xf>
    <xf numFmtId="168" fontId="31" fillId="8" borderId="15" xfId="0" applyNumberFormat="1" applyFont="1" applyFill="1" applyBorder="1" applyAlignment="1" applyProtection="1">
      <alignment horizontal="right" vertical="center" wrapText="1"/>
      <protection locked="0"/>
    </xf>
    <xf numFmtId="170" fontId="12" fillId="0" borderId="15" xfId="0" applyNumberFormat="1" applyFont="1" applyBorder="1" applyAlignment="1">
      <alignment horizontal="right" vertical="center" wrapText="1"/>
    </xf>
    <xf numFmtId="171" fontId="12" fillId="0" borderId="15" xfId="0" applyNumberFormat="1" applyFont="1" applyBorder="1" applyAlignment="1">
      <alignment horizontal="right" vertical="center" wrapText="1"/>
    </xf>
    <xf numFmtId="0" fontId="0" fillId="0" borderId="15" xfId="0" applyBorder="1"/>
    <xf numFmtId="167" fontId="12" fillId="0" borderId="15" xfId="0" applyNumberFormat="1" applyFont="1" applyBorder="1" applyAlignment="1">
      <alignment horizontal="right" vertical="center" wrapText="1"/>
    </xf>
    <xf numFmtId="0" fontId="21" fillId="0" borderId="15" xfId="0" applyFont="1" applyBorder="1" applyAlignment="1">
      <alignment horizontal="left" vertical="center" wrapText="1"/>
    </xf>
    <xf numFmtId="167" fontId="8" fillId="13" borderId="15" xfId="3" applyNumberFormat="1" applyFont="1" applyFill="1" applyBorder="1" applyAlignment="1" applyProtection="1">
      <alignment horizontal="right" vertical="center"/>
      <protection locked="0"/>
    </xf>
    <xf numFmtId="3" fontId="8" fillId="13" borderId="15" xfId="3" applyNumberFormat="1" applyFont="1" applyFill="1" applyBorder="1" applyAlignment="1" applyProtection="1">
      <alignment vertical="center"/>
      <protection locked="0"/>
    </xf>
    <xf numFmtId="171" fontId="8" fillId="13" borderId="15" xfId="3" applyNumberFormat="1" applyFont="1" applyFill="1" applyBorder="1" applyAlignment="1" applyProtection="1">
      <alignment vertical="center"/>
      <protection locked="0"/>
    </xf>
    <xf numFmtId="0" fontId="0" fillId="0" borderId="15" xfId="0" applyBorder="1" applyAlignment="1">
      <alignment horizontal="left" vertical="center"/>
    </xf>
    <xf numFmtId="3" fontId="4" fillId="9" borderId="15" xfId="0" applyNumberFormat="1" applyFont="1" applyFill="1" applyBorder="1" applyAlignment="1">
      <alignment horizontal="center" vertical="center" wrapText="1"/>
    </xf>
    <xf numFmtId="173" fontId="12" fillId="0" borderId="1" xfId="0" applyNumberFormat="1" applyFont="1" applyBorder="1" applyAlignment="1">
      <alignment horizontal="right" vertical="center" wrapText="1"/>
    </xf>
    <xf numFmtId="0" fontId="43" fillId="0" borderId="1" xfId="0" applyFont="1" applyBorder="1" applyAlignment="1">
      <alignment horizontal="center" vertical="center" wrapText="1"/>
    </xf>
    <xf numFmtId="0" fontId="13" fillId="5" borderId="1" xfId="0" applyFont="1" applyFill="1" applyBorder="1" applyAlignment="1">
      <alignment horizontal="left" vertical="center" wrapText="1"/>
    </xf>
    <xf numFmtId="0" fontId="4" fillId="5" borderId="1" xfId="0" applyFont="1" applyFill="1" applyBorder="1"/>
    <xf numFmtId="3" fontId="4" fillId="5" borderId="1" xfId="0" applyNumberFormat="1" applyFont="1" applyFill="1" applyBorder="1"/>
    <xf numFmtId="0" fontId="4" fillId="0" borderId="34" xfId="0" applyFont="1" applyBorder="1" applyAlignment="1">
      <alignment horizontal="left" vertical="center" wrapText="1"/>
    </xf>
    <xf numFmtId="0" fontId="0" fillId="0" borderId="34" xfId="0" applyBorder="1" applyAlignment="1">
      <alignment horizontal="center" vertical="center" wrapText="1"/>
    </xf>
    <xf numFmtId="0" fontId="4" fillId="0" borderId="34"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34" xfId="0" applyFont="1" applyBorder="1" applyAlignment="1">
      <alignment horizontal="right" vertical="center"/>
    </xf>
    <xf numFmtId="2" fontId="12" fillId="0" borderId="13" xfId="0" applyNumberFormat="1" applyFont="1" applyBorder="1" applyAlignment="1">
      <alignment horizontal="right" vertical="center" wrapText="1"/>
    </xf>
    <xf numFmtId="0" fontId="13" fillId="5" borderId="11" xfId="0" applyFont="1" applyFill="1" applyBorder="1" applyAlignment="1">
      <alignment horizontal="left" vertical="center" wrapText="1"/>
    </xf>
    <xf numFmtId="0" fontId="4" fillId="5" borderId="11" xfId="0" applyFont="1" applyFill="1" applyBorder="1"/>
    <xf numFmtId="3" fontId="4" fillId="5" borderId="11" xfId="0" applyNumberFormat="1" applyFont="1" applyFill="1" applyBorder="1"/>
    <xf numFmtId="0" fontId="33" fillId="21" borderId="7" xfId="0" applyFont="1" applyFill="1" applyBorder="1" applyAlignment="1">
      <alignment horizontal="right" vertical="center"/>
    </xf>
    <xf numFmtId="10" fontId="13" fillId="20" borderId="34" xfId="0" applyNumberFormat="1" applyFont="1" applyFill="1" applyBorder="1" applyAlignment="1">
      <alignment horizontal="right" vertical="center" wrapText="1"/>
    </xf>
    <xf numFmtId="0" fontId="37" fillId="0" borderId="1" xfId="0" applyFont="1" applyBorder="1" applyAlignment="1">
      <alignment horizontal="right"/>
    </xf>
    <xf numFmtId="0" fontId="38" fillId="0" borderId="1" xfId="0" applyFont="1" applyBorder="1" applyAlignment="1">
      <alignment horizontal="center"/>
    </xf>
    <xf numFmtId="0" fontId="6" fillId="11" borderId="1" xfId="0" applyFont="1" applyFill="1" applyBorder="1" applyAlignment="1">
      <alignment horizontal="center" vertical="center" wrapText="1"/>
    </xf>
    <xf numFmtId="0" fontId="6" fillId="29" borderId="1" xfId="0" applyFont="1" applyFill="1" applyBorder="1" applyAlignment="1">
      <alignment horizontal="center" vertical="center" wrapText="1"/>
    </xf>
    <xf numFmtId="0" fontId="6" fillId="30" borderId="1" xfId="0" applyFont="1" applyFill="1" applyBorder="1" applyAlignment="1">
      <alignment horizontal="center" vertical="center" wrapText="1"/>
    </xf>
    <xf numFmtId="0" fontId="6" fillId="31" borderId="1" xfId="0" applyFont="1" applyFill="1" applyBorder="1" applyAlignment="1">
      <alignment horizontal="center" vertical="center" wrapText="1"/>
    </xf>
    <xf numFmtId="0" fontId="6" fillId="23" borderId="1" xfId="0" applyFont="1" applyFill="1" applyBorder="1" applyAlignment="1">
      <alignment horizontal="center" vertical="center" wrapText="1"/>
    </xf>
    <xf numFmtId="0" fontId="3" fillId="20" borderId="1" xfId="0" applyFont="1" applyFill="1" applyBorder="1" applyAlignment="1">
      <alignment horizontal="left" vertical="center" wrapText="1"/>
    </xf>
    <xf numFmtId="167" fontId="15" fillId="20" borderId="1" xfId="0" applyNumberFormat="1" applyFont="1" applyFill="1" applyBorder="1" applyAlignment="1">
      <alignment horizontal="right" vertical="center" wrapText="1"/>
    </xf>
    <xf numFmtId="0" fontId="11" fillId="20" borderId="1" xfId="0" applyFont="1" applyFill="1" applyBorder="1" applyAlignment="1">
      <alignment horizontal="left" vertical="center" wrapText="1"/>
    </xf>
    <xf numFmtId="0" fontId="11" fillId="24" borderId="1" xfId="0" applyFont="1" applyFill="1" applyBorder="1" applyAlignment="1">
      <alignment horizontal="left" vertical="center" wrapText="1"/>
    </xf>
    <xf numFmtId="0" fontId="4" fillId="25" borderId="1" xfId="0" applyFont="1" applyFill="1" applyBorder="1" applyAlignment="1">
      <alignment horizontal="center" vertical="center" wrapText="1"/>
    </xf>
    <xf numFmtId="0" fontId="4" fillId="26" borderId="1" xfId="0" applyFont="1" applyFill="1" applyBorder="1" applyAlignment="1">
      <alignment horizontal="center" vertical="center" wrapText="1"/>
    </xf>
    <xf numFmtId="0" fontId="4" fillId="27" borderId="1" xfId="0" applyFont="1" applyFill="1" applyBorder="1" applyAlignment="1">
      <alignment horizontal="center" vertical="center" wrapText="1"/>
    </xf>
    <xf numFmtId="0" fontId="10" fillId="28" borderId="1" xfId="0" applyFont="1" applyFill="1" applyBorder="1" applyAlignment="1">
      <alignment horizontal="left" vertical="center" wrapText="1"/>
    </xf>
    <xf numFmtId="2" fontId="14" fillId="25" borderId="1" xfId="0" applyNumberFormat="1" applyFont="1" applyFill="1" applyBorder="1" applyAlignment="1">
      <alignment horizontal="center" vertical="center" wrapText="1"/>
    </xf>
    <xf numFmtId="172" fontId="14" fillId="26" borderId="1" xfId="0" applyNumberFormat="1" applyFont="1" applyFill="1" applyBorder="1" applyAlignment="1">
      <alignment horizontal="center" vertical="center" wrapText="1"/>
    </xf>
    <xf numFmtId="167" fontId="14" fillId="27" borderId="1" xfId="0" applyNumberFormat="1" applyFont="1" applyFill="1" applyBorder="1" applyAlignment="1">
      <alignment horizontal="center" vertical="center" wrapText="1"/>
    </xf>
    <xf numFmtId="0" fontId="6" fillId="14" borderId="6" xfId="0" applyFont="1" applyFill="1" applyBorder="1" applyAlignment="1">
      <alignment horizontal="center" vertical="center" wrapText="1"/>
    </xf>
    <xf numFmtId="0" fontId="4" fillId="15" borderId="14" xfId="0" applyFont="1" applyFill="1" applyBorder="1" applyAlignment="1">
      <alignment horizontal="left" vertical="center" wrapText="1"/>
    </xf>
    <xf numFmtId="0" fontId="4" fillId="15" borderId="14" xfId="0" applyFont="1" applyFill="1" applyBorder="1" applyAlignment="1">
      <alignment horizontal="center" vertical="center" wrapText="1"/>
    </xf>
    <xf numFmtId="49" fontId="4" fillId="15" borderId="14" xfId="0" applyNumberFormat="1" applyFont="1" applyFill="1" applyBorder="1" applyAlignment="1">
      <alignment horizontal="center" vertical="center" wrapText="1"/>
    </xf>
    <xf numFmtId="0" fontId="22" fillId="0" borderId="14" xfId="0" applyFont="1" applyBorder="1" applyAlignment="1">
      <alignment horizontal="left" vertical="center" wrapText="1"/>
    </xf>
    <xf numFmtId="168" fontId="4" fillId="0" borderId="34" xfId="0" applyNumberFormat="1" applyFont="1" applyBorder="1" applyAlignment="1">
      <alignment vertical="center"/>
    </xf>
    <xf numFmtId="0" fontId="21" fillId="0" borderId="34" xfId="0" applyFont="1" applyBorder="1" applyAlignment="1">
      <alignment horizontal="center" vertical="center"/>
    </xf>
    <xf numFmtId="0" fontId="22" fillId="0" borderId="14" xfId="0" applyFont="1" applyBorder="1" applyAlignment="1">
      <alignment horizontal="center" vertical="center" wrapText="1"/>
    </xf>
    <xf numFmtId="0" fontId="16" fillId="0" borderId="14" xfId="0" applyFont="1" applyBorder="1" applyAlignment="1">
      <alignment horizontal="center" vertical="center" wrapText="1"/>
    </xf>
    <xf numFmtId="0" fontId="4" fillId="0" borderId="34" xfId="0" applyFont="1" applyBorder="1" applyAlignment="1">
      <alignment vertical="center"/>
    </xf>
    <xf numFmtId="0" fontId="6" fillId="14" borderId="1" xfId="0" applyFont="1" applyFill="1" applyBorder="1" applyAlignment="1">
      <alignment horizontal="center" vertical="center" wrapText="1"/>
    </xf>
    <xf numFmtId="0" fontId="27" fillId="0" borderId="14" xfId="0" applyFont="1" applyBorder="1" applyAlignment="1">
      <alignment wrapText="1"/>
    </xf>
    <xf numFmtId="2" fontId="4" fillId="0" borderId="1" xfId="0" applyNumberFormat="1" applyFont="1" applyBorder="1" applyAlignment="1">
      <alignment vertical="center"/>
    </xf>
    <xf numFmtId="165" fontId="22" fillId="0" borderId="1" xfId="0" applyNumberFormat="1" applyFont="1" applyBorder="1" applyAlignment="1">
      <alignment horizontal="center"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16" fillId="0" borderId="1" xfId="0" applyFont="1" applyBorder="1" applyAlignment="1">
      <alignment vertical="center" wrapText="1"/>
    </xf>
    <xf numFmtId="0" fontId="19" fillId="9" borderId="0" xfId="0" applyFont="1" applyFill="1"/>
    <xf numFmtId="165" fontId="4" fillId="0" borderId="1" xfId="0" applyNumberFormat="1" applyFont="1" applyBorder="1" applyAlignment="1">
      <alignment vertical="center"/>
    </xf>
    <xf numFmtId="0" fontId="22" fillId="0" borderId="1" xfId="0" applyFont="1" applyBorder="1" applyAlignment="1">
      <alignment horizontal="center" vertical="center"/>
    </xf>
    <xf numFmtId="0" fontId="22" fillId="0" borderId="1" xfId="0" applyFont="1" applyBorder="1" applyAlignment="1">
      <alignment vertical="center"/>
    </xf>
    <xf numFmtId="0" fontId="6" fillId="16" borderId="1" xfId="0" applyFont="1" applyFill="1" applyBorder="1" applyAlignment="1">
      <alignment horizontal="center" vertical="center" wrapText="1"/>
    </xf>
    <xf numFmtId="165" fontId="6" fillId="16" borderId="1" xfId="0" applyNumberFormat="1" applyFont="1" applyFill="1" applyBorder="1" applyAlignment="1">
      <alignment horizontal="center" vertical="center"/>
    </xf>
    <xf numFmtId="0" fontId="6" fillId="16" borderId="1" xfId="0" applyFont="1" applyFill="1" applyBorder="1" applyAlignment="1">
      <alignment horizontal="center" vertical="center"/>
    </xf>
    <xf numFmtId="168" fontId="4" fillId="0" borderId="14" xfId="0" applyNumberFormat="1" applyFont="1" applyBorder="1" applyAlignment="1">
      <alignment wrapText="1"/>
    </xf>
    <xf numFmtId="0" fontId="18" fillId="0" borderId="14" xfId="0" applyFont="1" applyBorder="1" applyAlignment="1">
      <alignment wrapText="1"/>
    </xf>
    <xf numFmtId="49" fontId="18" fillId="0" borderId="14" xfId="0" applyNumberFormat="1" applyFont="1" applyBorder="1" applyAlignment="1">
      <alignment wrapText="1"/>
    </xf>
    <xf numFmtId="168" fontId="4" fillId="0" borderId="1" xfId="0" applyNumberFormat="1" applyFont="1" applyBorder="1" applyAlignment="1">
      <alignment vertical="center" wrapText="1"/>
    </xf>
    <xf numFmtId="0" fontId="22" fillId="0" borderId="1" xfId="0" applyFont="1" applyBorder="1" applyAlignment="1">
      <alignment horizontal="center" vertical="center" wrapText="1"/>
    </xf>
    <xf numFmtId="49" fontId="22" fillId="0" borderId="1" xfId="0" applyNumberFormat="1" applyFont="1" applyBorder="1" applyAlignment="1">
      <alignment vertical="center" wrapText="1"/>
    </xf>
    <xf numFmtId="0" fontId="4" fillId="0" borderId="1" xfId="0" applyFont="1" applyBorder="1" applyAlignment="1">
      <alignment vertical="center" wrapText="1"/>
    </xf>
    <xf numFmtId="0" fontId="18" fillId="0" borderId="13" xfId="0" applyFont="1" applyBorder="1" applyAlignment="1">
      <alignment wrapText="1"/>
    </xf>
    <xf numFmtId="168" fontId="4" fillId="0" borderId="13" xfId="0" applyNumberFormat="1" applyFont="1" applyBorder="1" applyAlignment="1">
      <alignment wrapText="1"/>
    </xf>
    <xf numFmtId="49" fontId="18" fillId="0" borderId="13" xfId="0" applyNumberFormat="1" applyFont="1" applyBorder="1" applyAlignment="1">
      <alignment wrapText="1"/>
    </xf>
    <xf numFmtId="0" fontId="4" fillId="0" borderId="13" xfId="0" applyFont="1" applyBorder="1" applyAlignment="1">
      <alignment wrapText="1"/>
    </xf>
    <xf numFmtId="0" fontId="4" fillId="0" borderId="0" xfId="0" applyFont="1" applyAlignment="1">
      <alignment horizontal="left" vertical="top" wrapText="1"/>
    </xf>
    <xf numFmtId="165" fontId="4" fillId="0" borderId="0" xfId="0" applyNumberFormat="1" applyFont="1" applyAlignment="1">
      <alignment horizontal="right"/>
    </xf>
    <xf numFmtId="0" fontId="9" fillId="0" borderId="0" xfId="0" applyFont="1" applyAlignment="1">
      <alignment horizontal="left" vertical="center" wrapText="1"/>
    </xf>
    <xf numFmtId="0" fontId="16" fillId="0" borderId="0" xfId="0" applyFont="1" applyAlignment="1">
      <alignment horizontal="left" vertical="top" wrapText="1"/>
    </xf>
    <xf numFmtId="167" fontId="4" fillId="0" borderId="1" xfId="0" applyNumberFormat="1" applyFont="1" applyBorder="1" applyAlignment="1">
      <alignment vertical="center"/>
    </xf>
    <xf numFmtId="0" fontId="4" fillId="0" borderId="1" xfId="0" applyFont="1" applyBorder="1" applyAlignment="1">
      <alignment horizontal="right" vertical="center"/>
    </xf>
    <xf numFmtId="0" fontId="6" fillId="14" borderId="34" xfId="0" applyFont="1" applyFill="1" applyBorder="1" applyAlignment="1">
      <alignment horizontal="center" vertical="center" wrapText="1"/>
    </xf>
    <xf numFmtId="0" fontId="48" fillId="2" borderId="34"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vertical="center"/>
    </xf>
    <xf numFmtId="49" fontId="18" fillId="0" borderId="29" xfId="0" applyNumberFormat="1" applyFont="1" applyBorder="1" applyAlignment="1">
      <alignment wrapText="1"/>
    </xf>
    <xf numFmtId="0" fontId="18" fillId="0" borderId="29" xfId="0" applyFont="1" applyBorder="1" applyAlignment="1">
      <alignment wrapText="1"/>
    </xf>
    <xf numFmtId="0" fontId="4" fillId="0" borderId="14" xfId="0" applyFont="1" applyBorder="1"/>
    <xf numFmtId="1" fontId="4" fillId="0" borderId="14" xfId="0" applyNumberFormat="1" applyFont="1" applyBorder="1"/>
    <xf numFmtId="1" fontId="18" fillId="0" borderId="29" xfId="0" applyNumberFormat="1" applyFont="1" applyBorder="1" applyAlignment="1">
      <alignment wrapText="1"/>
    </xf>
    <xf numFmtId="0" fontId="0" fillId="0" borderId="14" xfId="0" applyBorder="1"/>
    <xf numFmtId="0" fontId="6" fillId="14" borderId="13" xfId="0" applyFont="1" applyFill="1" applyBorder="1" applyAlignment="1">
      <alignment horizontal="center" vertical="center" wrapText="1"/>
    </xf>
    <xf numFmtId="0" fontId="22" fillId="0" borderId="15" xfId="0" applyFont="1" applyBorder="1" applyAlignment="1">
      <alignment vertical="center"/>
    </xf>
    <xf numFmtId="0" fontId="4" fillId="0" borderId="15" xfId="0" applyFont="1" applyBorder="1" applyAlignment="1">
      <alignment vertical="center"/>
    </xf>
    <xf numFmtId="168" fontId="4" fillId="0" borderId="14" xfId="0" applyNumberFormat="1" applyFont="1" applyBorder="1" applyAlignment="1">
      <alignment horizontal="right"/>
    </xf>
    <xf numFmtId="167" fontId="4" fillId="0" borderId="14" xfId="0" applyNumberFormat="1" applyFont="1" applyBorder="1" applyAlignment="1">
      <alignment horizontal="right"/>
    </xf>
    <xf numFmtId="2" fontId="4" fillId="0" borderId="1" xfId="0" applyNumberFormat="1" applyFont="1" applyBorder="1" applyAlignment="1">
      <alignment horizontal="right"/>
    </xf>
    <xf numFmtId="0" fontId="4" fillId="0" borderId="1" xfId="0" applyFont="1" applyBorder="1" applyAlignment="1">
      <alignment horizontal="right"/>
    </xf>
    <xf numFmtId="0" fontId="6" fillId="2" borderId="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27" fillId="0" borderId="15" xfId="0" applyFont="1" applyBorder="1" applyAlignment="1">
      <alignment wrapText="1"/>
    </xf>
    <xf numFmtId="0" fontId="4" fillId="0" borderId="15" xfId="0" applyFont="1" applyBorder="1" applyAlignment="1">
      <alignment horizontal="right"/>
    </xf>
    <xf numFmtId="0" fontId="18" fillId="0" borderId="15" xfId="0" applyFont="1" applyBorder="1"/>
    <xf numFmtId="169" fontId="18" fillId="0" borderId="15" xfId="2" applyNumberFormat="1" applyFont="1" applyBorder="1"/>
    <xf numFmtId="0" fontId="6" fillId="16" borderId="15" xfId="0" applyFont="1" applyFill="1" applyBorder="1" applyAlignment="1">
      <alignment horizontal="center" vertical="center" wrapText="1"/>
    </xf>
    <xf numFmtId="0" fontId="4" fillId="15" borderId="15" xfId="0" applyFont="1" applyFill="1" applyBorder="1" applyAlignment="1">
      <alignment horizontal="left" vertical="center" wrapText="1"/>
    </xf>
    <xf numFmtId="49" fontId="4" fillId="15" borderId="15" xfId="0" applyNumberFormat="1" applyFont="1" applyFill="1" applyBorder="1" applyAlignment="1">
      <alignment horizontal="left" vertical="center" wrapText="1"/>
    </xf>
    <xf numFmtId="0" fontId="16" fillId="15" borderId="15" xfId="0" applyFont="1" applyFill="1" applyBorder="1" applyAlignment="1">
      <alignment horizontal="left" vertical="center" wrapText="1"/>
    </xf>
    <xf numFmtId="0" fontId="8" fillId="13" borderId="11" xfId="0" applyFont="1" applyFill="1" applyBorder="1" applyAlignment="1" applyProtection="1">
      <alignment horizontal="center" vertical="center"/>
      <protection locked="0"/>
    </xf>
    <xf numFmtId="0" fontId="8" fillId="13" borderId="1" xfId="0" applyFont="1" applyFill="1" applyBorder="1" applyAlignment="1" applyProtection="1">
      <alignment horizontal="center" vertical="center"/>
      <protection locked="0"/>
    </xf>
    <xf numFmtId="0" fontId="8" fillId="13" borderId="13" xfId="0" applyFont="1" applyFill="1" applyBorder="1" applyAlignment="1" applyProtection="1">
      <alignment horizontal="center" vertical="center"/>
      <protection locked="0"/>
    </xf>
    <xf numFmtId="10" fontId="8" fillId="4" borderId="13" xfId="2" applyNumberFormat="1" applyFont="1" applyFill="1" applyBorder="1" applyAlignment="1" applyProtection="1">
      <alignment horizontal="right" vertical="center" wrapText="1"/>
      <protection locked="0"/>
    </xf>
    <xf numFmtId="164" fontId="8" fillId="13" borderId="34" xfId="1" applyNumberFormat="1" applyFont="1" applyFill="1" applyBorder="1" applyAlignment="1" applyProtection="1">
      <alignment horizontal="right" vertical="center"/>
      <protection locked="0"/>
    </xf>
    <xf numFmtId="0" fontId="8" fillId="13" borderId="34" xfId="0" applyFont="1" applyFill="1" applyBorder="1" applyAlignment="1" applyProtection="1">
      <alignment horizontal="right" vertical="center"/>
      <protection locked="0"/>
    </xf>
    <xf numFmtId="169" fontId="12" fillId="0" borderId="6" xfId="2" applyNumberFormat="1" applyFont="1" applyBorder="1" applyAlignment="1">
      <alignment horizontal="right" vertical="center" wrapText="1"/>
    </xf>
    <xf numFmtId="174" fontId="8" fillId="4" borderId="34" xfId="2" applyNumberFormat="1" applyFont="1" applyFill="1" applyBorder="1" applyAlignment="1" applyProtection="1">
      <alignment horizontal="right" vertical="center" wrapText="1"/>
      <protection locked="0"/>
    </xf>
    <xf numFmtId="174" fontId="12" fillId="0" borderId="11" xfId="2" applyNumberFormat="1" applyFont="1" applyBorder="1" applyAlignment="1">
      <alignment horizontal="right" vertical="center" wrapText="1"/>
    </xf>
    <xf numFmtId="0" fontId="7" fillId="12" borderId="16" xfId="0" applyFont="1" applyFill="1" applyBorder="1" applyAlignment="1">
      <alignment vertical="center"/>
    </xf>
    <xf numFmtId="0" fontId="0" fillId="0" borderId="21" xfId="0" applyBorder="1"/>
    <xf numFmtId="0" fontId="0" fillId="0" borderId="22" xfId="0" applyBorder="1"/>
    <xf numFmtId="0" fontId="23" fillId="11" borderId="1" xfId="0" applyFont="1" applyFill="1" applyBorder="1" applyAlignment="1">
      <alignment horizontal="left" vertical="center"/>
    </xf>
    <xf numFmtId="0" fontId="0" fillId="0" borderId="2" xfId="0" applyBorder="1"/>
    <xf numFmtId="0" fontId="0" fillId="0" borderId="3" xfId="0" applyBorder="1"/>
    <xf numFmtId="0" fontId="25" fillId="12" borderId="16" xfId="0" applyFont="1" applyFill="1" applyBorder="1" applyAlignment="1">
      <alignment vertical="center"/>
    </xf>
    <xf numFmtId="0" fontId="28" fillId="11" borderId="1" xfId="0" applyFont="1" applyFill="1" applyBorder="1" applyAlignment="1">
      <alignment horizontal="center" vertical="center" wrapText="1"/>
    </xf>
    <xf numFmtId="0" fontId="29" fillId="18" borderId="15" xfId="0" applyFont="1" applyFill="1" applyBorder="1" applyAlignment="1">
      <alignment horizontal="center" vertical="center" wrapText="1"/>
    </xf>
    <xf numFmtId="0" fontId="0" fillId="0" borderId="29" xfId="0" applyBorder="1"/>
    <xf numFmtId="0" fontId="35" fillId="22" borderId="0" xfId="0" applyFont="1" applyFill="1" applyAlignment="1">
      <alignment horizontal="left" vertical="top" wrapText="1"/>
    </xf>
    <xf numFmtId="0" fontId="0" fillId="9" borderId="0" xfId="0" applyFill="1"/>
    <xf numFmtId="0" fontId="4" fillId="17" borderId="13" xfId="0" applyFont="1" applyFill="1" applyBorder="1" applyAlignment="1">
      <alignment horizontal="left" vertical="center" wrapText="1"/>
    </xf>
    <xf numFmtId="0" fontId="0" fillId="0" borderId="5" xfId="0" applyBorder="1"/>
    <xf numFmtId="0" fontId="0" fillId="0" borderId="18" xfId="0" applyBorder="1"/>
    <xf numFmtId="0" fontId="34" fillId="22" borderId="0" xfId="0" applyFont="1" applyFill="1" applyAlignment="1">
      <alignment horizontal="left" vertical="top"/>
    </xf>
    <xf numFmtId="0" fontId="4" fillId="0" borderId="1" xfId="0" applyFont="1" applyBorder="1" applyAlignment="1">
      <alignment horizontal="center" vertical="center" wrapText="1"/>
    </xf>
    <xf numFmtId="0" fontId="0" fillId="0" borderId="6" xfId="0" applyBorder="1"/>
    <xf numFmtId="0" fontId="0" fillId="0" borderId="11" xfId="0" applyBorder="1"/>
    <xf numFmtId="0" fontId="4" fillId="17" borderId="1" xfId="0" applyFont="1" applyFill="1" applyBorder="1" applyAlignment="1">
      <alignment horizontal="left" vertical="center" wrapText="1"/>
    </xf>
    <xf numFmtId="0" fontId="29" fillId="11" borderId="15"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17" borderId="15" xfId="0" applyFont="1" applyFill="1" applyBorder="1" applyAlignment="1">
      <alignment horizontal="left" vertical="center" wrapText="1"/>
    </xf>
    <xf numFmtId="0" fontId="0" fillId="0" borderId="26" xfId="0" applyBorder="1"/>
    <xf numFmtId="0" fontId="0" fillId="0" borderId="27" xfId="0" applyBorder="1"/>
    <xf numFmtId="0" fontId="16" fillId="10" borderId="15" xfId="0" applyFont="1" applyFill="1" applyBorder="1" applyAlignment="1">
      <alignment horizontal="left" vertical="center" wrapText="1"/>
    </xf>
    <xf numFmtId="0" fontId="7" fillId="12" borderId="15" xfId="0" applyFont="1" applyFill="1" applyBorder="1" applyAlignment="1">
      <alignment horizontal="left"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10" fillId="0" borderId="24" xfId="0" applyFont="1" applyBorder="1" applyAlignment="1">
      <alignment horizontal="center" vertical="center" wrapText="1"/>
    </xf>
    <xf numFmtId="0" fontId="0" fillId="0" borderId="9" xfId="0" applyBorder="1"/>
    <xf numFmtId="0" fontId="28" fillId="11" borderId="13" xfId="0" applyFont="1" applyFill="1" applyBorder="1" applyAlignment="1">
      <alignment horizontal="center" vertical="center" wrapText="1"/>
    </xf>
    <xf numFmtId="0" fontId="4" fillId="17" borderId="11" xfId="0" applyFont="1" applyFill="1" applyBorder="1" applyAlignment="1">
      <alignment horizontal="left" vertical="center" wrapText="1"/>
    </xf>
    <xf numFmtId="0" fontId="0" fillId="0" borderId="4" xfId="0" applyBorder="1"/>
    <xf numFmtId="0" fontId="0" fillId="0" borderId="12" xfId="0" applyBorder="1"/>
    <xf numFmtId="0" fontId="10" fillId="0" borderId="31" xfId="0" applyFont="1" applyBorder="1" applyAlignment="1">
      <alignment horizontal="center" vertical="center" wrapText="1"/>
    </xf>
    <xf numFmtId="0" fontId="0" fillId="0" borderId="10" xfId="0" applyBorder="1"/>
    <xf numFmtId="0" fontId="4" fillId="0" borderId="15" xfId="0" applyFont="1" applyBorder="1" applyAlignment="1">
      <alignment horizontal="center" vertical="center" wrapText="1"/>
    </xf>
    <xf numFmtId="0" fontId="0" fillId="0" borderId="28" xfId="0" applyBorder="1"/>
    <xf numFmtId="0" fontId="25" fillId="12" borderId="15" xfId="0" applyFont="1" applyFill="1" applyBorder="1" applyAlignment="1">
      <alignment horizontal="left" vertical="center" wrapText="1"/>
    </xf>
    <xf numFmtId="0" fontId="40" fillId="17" borderId="1" xfId="0" applyFont="1" applyFill="1" applyBorder="1" applyAlignment="1">
      <alignment horizontal="left" vertical="center" wrapText="1"/>
    </xf>
    <xf numFmtId="0" fontId="23" fillId="11" borderId="15" xfId="0" applyFont="1" applyFill="1" applyBorder="1" applyAlignment="1">
      <alignment horizontal="center" vertical="center" wrapText="1"/>
    </xf>
    <xf numFmtId="0" fontId="29" fillId="11" borderId="11" xfId="0" applyFont="1" applyFill="1" applyBorder="1" applyAlignment="1">
      <alignment horizontal="left" vertical="center" wrapText="1"/>
    </xf>
    <xf numFmtId="0" fontId="5" fillId="11" borderId="1" xfId="0" applyFont="1" applyFill="1" applyBorder="1" applyAlignment="1">
      <alignment vertical="center"/>
    </xf>
    <xf numFmtId="0" fontId="4" fillId="0" borderId="16" xfId="0" applyFont="1" applyBorder="1" applyAlignment="1">
      <alignment horizontal="left" vertical="center" wrapText="1"/>
    </xf>
    <xf numFmtId="0" fontId="16" fillId="0" borderId="14" xfId="0" applyFont="1" applyBorder="1" applyAlignment="1">
      <alignment horizontal="left" vertical="top" wrapText="1"/>
    </xf>
    <xf numFmtId="0" fontId="0" fillId="0" borderId="32" xfId="0" applyBorder="1"/>
    <xf numFmtId="0" fontId="6" fillId="2" borderId="13" xfId="0" applyFont="1" applyFill="1" applyBorder="1" applyAlignment="1">
      <alignment horizontal="center" vertical="center" wrapText="1"/>
    </xf>
    <xf numFmtId="0" fontId="7" fillId="12" borderId="14" xfId="0" applyFont="1" applyFill="1" applyBorder="1" applyAlignment="1">
      <alignment vertical="center"/>
    </xf>
    <xf numFmtId="0" fontId="7" fillId="12" borderId="13" xfId="0" applyFont="1" applyFill="1" applyBorder="1" applyAlignment="1">
      <alignment vertical="center"/>
    </xf>
    <xf numFmtId="0" fontId="22" fillId="0" borderId="15" xfId="0" applyFont="1" applyBorder="1" applyAlignment="1">
      <alignment horizontal="left" vertical="center"/>
    </xf>
    <xf numFmtId="0" fontId="7" fillId="3" borderId="1" xfId="0" applyFont="1" applyFill="1" applyBorder="1" applyAlignment="1">
      <alignment horizontal="left" vertical="center" wrapText="1"/>
    </xf>
    <xf numFmtId="0" fontId="10" fillId="0" borderId="14" xfId="0" applyFont="1" applyBorder="1" applyAlignment="1">
      <alignment horizontal="left" vertical="center" wrapText="1"/>
    </xf>
    <xf numFmtId="0" fontId="6" fillId="2" borderId="34" xfId="0" applyFont="1" applyFill="1" applyBorder="1" applyAlignment="1">
      <alignment horizontal="center" vertical="center" wrapText="1"/>
    </xf>
    <xf numFmtId="0" fontId="0" fillId="0" borderId="35" xfId="0" applyBorder="1"/>
    <xf numFmtId="0" fontId="6" fillId="14" borderId="33" xfId="0" applyFont="1" applyFill="1" applyBorder="1" applyAlignment="1">
      <alignment horizontal="center" vertical="center" wrapText="1"/>
    </xf>
    <xf numFmtId="0" fontId="0" fillId="0" borderId="19" xfId="0" applyBorder="1"/>
    <xf numFmtId="0" fontId="0" fillId="0" borderId="20" xfId="0" applyBorder="1"/>
    <xf numFmtId="0" fontId="48" fillId="2" borderId="36" xfId="0" applyFont="1" applyFill="1" applyBorder="1" applyAlignment="1">
      <alignment horizontal="center" vertical="center" wrapText="1"/>
    </xf>
    <xf numFmtId="0" fontId="48" fillId="2" borderId="35" xfId="0" applyFont="1" applyFill="1" applyBorder="1" applyAlignment="1">
      <alignment horizontal="center" vertical="center" wrapText="1"/>
    </xf>
  </cellXfs>
  <cellStyles count="5">
    <cellStyle name="Comma" xfId="1" builtinId="3"/>
    <cellStyle name="Comma 2" xfId="3" xr:uid="{00000000-0005-0000-0000-000003000000}"/>
    <cellStyle name="Hyperlink" xfId="4" builtinId="8"/>
    <cellStyle name="Normal" xfId="0" builtinId="0"/>
    <cellStyle name="Per cent" xfId="2" builtinId="5"/>
  </cellStyles>
  <dxfs count="6">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tx-hub.org/%20publication%20/GHG_intensity_calculators_PtX_produ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A31"/>
  <sheetViews>
    <sheetView tabSelected="1" workbookViewId="0">
      <pane ySplit="2" topLeftCell="A3" activePane="bottomLeft" state="frozen"/>
      <selection pane="bottomLeft" activeCell="A3" sqref="A3"/>
    </sheetView>
  </sheetViews>
  <sheetFormatPr defaultRowHeight="14.4" x14ac:dyDescent="0.3"/>
  <cols>
    <col min="1" max="1" width="120.77734375" style="1" customWidth="1"/>
    <col min="2" max="3" width="8.88671875" style="1" customWidth="1"/>
    <col min="4" max="16384" width="8.88671875" style="1"/>
  </cols>
  <sheetData>
    <row r="1" spans="1:1" ht="21" customHeight="1" x14ac:dyDescent="0.3">
      <c r="A1" s="9" t="s">
        <v>109</v>
      </c>
    </row>
    <row r="2" spans="1:1" x14ac:dyDescent="0.3">
      <c r="A2" s="10" t="s">
        <v>110</v>
      </c>
    </row>
    <row r="3" spans="1:1" ht="15.6" customHeight="1" x14ac:dyDescent="0.3">
      <c r="A3" s="11" t="s">
        <v>111</v>
      </c>
    </row>
    <row r="4" spans="1:1" ht="39.6" customHeight="1" x14ac:dyDescent="0.3">
      <c r="A4" s="12" t="s">
        <v>112</v>
      </c>
    </row>
    <row r="5" spans="1:1" x14ac:dyDescent="0.3">
      <c r="A5" s="12" t="s">
        <v>113</v>
      </c>
    </row>
    <row r="6" spans="1:1" ht="30" customHeight="1" x14ac:dyDescent="0.3">
      <c r="A6" s="13" t="s">
        <v>114</v>
      </c>
    </row>
    <row r="7" spans="1:1" ht="30" customHeight="1" x14ac:dyDescent="0.3">
      <c r="A7" s="13" t="s">
        <v>115</v>
      </c>
    </row>
    <row r="8" spans="1:1" ht="30" customHeight="1" x14ac:dyDescent="0.3">
      <c r="A8" s="13" t="s">
        <v>116</v>
      </c>
    </row>
    <row r="9" spans="1:1" ht="26.4" customHeight="1" x14ac:dyDescent="0.3">
      <c r="A9" s="12" t="s">
        <v>574</v>
      </c>
    </row>
    <row r="10" spans="1:1" x14ac:dyDescent="0.3">
      <c r="A10" s="14" t="s">
        <v>575</v>
      </c>
    </row>
    <row r="11" spans="1:1" ht="15.6" customHeight="1" x14ac:dyDescent="0.3">
      <c r="A11" s="11" t="s">
        <v>117</v>
      </c>
    </row>
    <row r="12" spans="1:1" ht="30" customHeight="1" x14ac:dyDescent="0.3">
      <c r="A12" s="15" t="s">
        <v>118</v>
      </c>
    </row>
    <row r="13" spans="1:1" x14ac:dyDescent="0.3">
      <c r="A13" s="12" t="s">
        <v>119</v>
      </c>
    </row>
    <row r="14" spans="1:1" x14ac:dyDescent="0.3">
      <c r="A14" s="12" t="s">
        <v>120</v>
      </c>
    </row>
    <row r="15" spans="1:1" x14ac:dyDescent="0.3">
      <c r="A15" s="12" t="s">
        <v>121</v>
      </c>
    </row>
    <row r="16" spans="1:1" x14ac:dyDescent="0.3">
      <c r="A16" s="16"/>
    </row>
    <row r="17" spans="1:1" x14ac:dyDescent="0.3">
      <c r="A17" s="12" t="s">
        <v>122</v>
      </c>
    </row>
    <row r="18" spans="1:1" x14ac:dyDescent="0.3">
      <c r="A18" s="17" t="s">
        <v>591</v>
      </c>
    </row>
    <row r="19" spans="1:1" ht="15.6" customHeight="1" x14ac:dyDescent="0.3">
      <c r="A19" s="11" t="s">
        <v>123</v>
      </c>
    </row>
    <row r="20" spans="1:1" ht="30" customHeight="1" x14ac:dyDescent="0.3">
      <c r="A20" s="18" t="s">
        <v>124</v>
      </c>
    </row>
    <row r="21" spans="1:1" ht="30" customHeight="1" x14ac:dyDescent="0.3">
      <c r="A21" s="13" t="s">
        <v>125</v>
      </c>
    </row>
    <row r="22" spans="1:1" x14ac:dyDescent="0.3">
      <c r="A22" s="13" t="s">
        <v>126</v>
      </c>
    </row>
    <row r="23" spans="1:1" x14ac:dyDescent="0.3">
      <c r="A23" s="19"/>
    </row>
    <row r="24" spans="1:1" ht="15.6" customHeight="1" x14ac:dyDescent="0.3">
      <c r="A24" s="11" t="s">
        <v>127</v>
      </c>
    </row>
    <row r="25" spans="1:1" x14ac:dyDescent="0.3">
      <c r="A25" s="20" t="s">
        <v>576</v>
      </c>
    </row>
    <row r="26" spans="1:1" x14ac:dyDescent="0.3">
      <c r="A26" s="20" t="s">
        <v>577</v>
      </c>
    </row>
    <row r="27" spans="1:1" x14ac:dyDescent="0.3">
      <c r="A27" s="21"/>
    </row>
    <row r="28" spans="1:1" ht="45" customHeight="1" x14ac:dyDescent="0.3">
      <c r="A28" s="20" t="s">
        <v>128</v>
      </c>
    </row>
    <row r="29" spans="1:1" x14ac:dyDescent="0.3">
      <c r="A29" s="20" t="s">
        <v>129</v>
      </c>
    </row>
    <row r="30" spans="1:1" ht="60" customHeight="1" x14ac:dyDescent="0.3">
      <c r="A30" s="20" t="s">
        <v>578</v>
      </c>
    </row>
    <row r="31" spans="1:1" ht="30" customHeight="1" x14ac:dyDescent="0.3">
      <c r="A31" s="13" t="s">
        <v>130</v>
      </c>
    </row>
  </sheetData>
  <sheetProtection sheet="1" formatCells="0" formatColumns="0" formatRows="0" sort="0" autoFilter="0" pivotTables="0"/>
  <hyperlinks>
    <hyperlink ref="A10" r:id="rId1" xr:uid="{C8E42E5F-EB6B-4810-A5B5-BEDD04A1ECA1}"/>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F76"/>
  <sheetViews>
    <sheetView workbookViewId="0">
      <pane ySplit="2" topLeftCell="A3" activePane="bottomLeft" state="frozen"/>
      <selection pane="bottomLeft" activeCell="A3" sqref="A3:F3"/>
    </sheetView>
  </sheetViews>
  <sheetFormatPr defaultRowHeight="14.4" x14ac:dyDescent="0.3"/>
  <cols>
    <col min="1" max="1" width="40.77734375" style="2" customWidth="1"/>
    <col min="2" max="2" width="20.77734375" style="2" customWidth="1"/>
    <col min="3" max="3" width="15.77734375" style="2" customWidth="1"/>
    <col min="4" max="4" width="20.77734375" style="2" customWidth="1"/>
    <col min="5" max="5" width="30.77734375" style="2" customWidth="1"/>
    <col min="6" max="6" width="60.77734375" style="2" customWidth="1"/>
    <col min="7" max="8" width="8.88671875" style="2" customWidth="1"/>
    <col min="9" max="16384" width="8.88671875" style="2"/>
  </cols>
  <sheetData>
    <row r="1" spans="1:6" ht="19.95" customHeight="1" x14ac:dyDescent="0.3">
      <c r="A1" s="294" t="s">
        <v>0</v>
      </c>
      <c r="B1" s="295"/>
      <c r="C1" s="295"/>
      <c r="D1" s="295"/>
      <c r="E1" s="295"/>
      <c r="F1" s="296"/>
    </row>
    <row r="2" spans="1:6" ht="15" customHeight="1" x14ac:dyDescent="0.3">
      <c r="A2" s="22" t="s">
        <v>1</v>
      </c>
      <c r="B2" s="22" t="s">
        <v>2</v>
      </c>
      <c r="C2" s="22" t="s">
        <v>3</v>
      </c>
      <c r="D2" s="7" t="s">
        <v>4</v>
      </c>
      <c r="E2" s="22" t="s">
        <v>5</v>
      </c>
      <c r="F2" s="22" t="s">
        <v>6</v>
      </c>
    </row>
    <row r="3" spans="1:6" ht="19.95" customHeight="1" x14ac:dyDescent="0.3">
      <c r="A3" s="297" t="s">
        <v>7</v>
      </c>
      <c r="B3" s="292"/>
      <c r="C3" s="292"/>
      <c r="D3" s="292"/>
      <c r="E3" s="292"/>
      <c r="F3" s="293"/>
    </row>
    <row r="4" spans="1:6" ht="15" customHeight="1" x14ac:dyDescent="0.3">
      <c r="A4" s="23" t="s">
        <v>8</v>
      </c>
      <c r="B4" s="282" t="s">
        <v>594</v>
      </c>
      <c r="C4" s="24" t="s">
        <v>9</v>
      </c>
      <c r="D4" s="25" t="s">
        <v>10</v>
      </c>
      <c r="E4" s="26" t="s">
        <v>596</v>
      </c>
      <c r="F4" s="27" t="s">
        <v>11</v>
      </c>
    </row>
    <row r="5" spans="1:6" ht="15" customHeight="1" x14ac:dyDescent="0.3">
      <c r="A5" s="23" t="s">
        <v>12</v>
      </c>
      <c r="B5" s="283" t="s">
        <v>595</v>
      </c>
      <c r="C5" s="28" t="s">
        <v>9</v>
      </c>
      <c r="D5" s="29" t="s">
        <v>10</v>
      </c>
      <c r="E5" s="26"/>
      <c r="F5" s="30" t="s">
        <v>13</v>
      </c>
    </row>
    <row r="6" spans="1:6" ht="15" customHeight="1" x14ac:dyDescent="0.3">
      <c r="A6" s="23" t="s">
        <v>14</v>
      </c>
      <c r="B6" s="284">
        <v>2030</v>
      </c>
      <c r="C6" s="28" t="s">
        <v>15</v>
      </c>
      <c r="D6" s="29" t="s">
        <v>10</v>
      </c>
      <c r="E6" s="26"/>
      <c r="F6" s="30" t="s">
        <v>16</v>
      </c>
    </row>
    <row r="7" spans="1:6" ht="15" customHeight="1" x14ac:dyDescent="0.3">
      <c r="A7" s="32" t="s">
        <v>17</v>
      </c>
      <c r="B7" s="31" t="s">
        <v>592</v>
      </c>
      <c r="C7" s="33" t="s">
        <v>9</v>
      </c>
      <c r="D7" s="29" t="s">
        <v>10</v>
      </c>
      <c r="E7" s="26"/>
      <c r="F7" s="30" t="s">
        <v>19</v>
      </c>
    </row>
    <row r="8" spans="1:6" ht="15" customHeight="1" x14ac:dyDescent="0.3">
      <c r="A8" s="32" t="s">
        <v>20</v>
      </c>
      <c r="B8" s="31" t="s">
        <v>592</v>
      </c>
      <c r="C8" s="34" t="s">
        <v>9</v>
      </c>
      <c r="D8" s="29" t="s">
        <v>10</v>
      </c>
      <c r="E8" s="26"/>
      <c r="F8" s="35" t="s">
        <v>19</v>
      </c>
    </row>
    <row r="9" spans="1:6" ht="15" customHeight="1" x14ac:dyDescent="0.3">
      <c r="A9" s="32" t="s">
        <v>21</v>
      </c>
      <c r="B9" s="36" t="s">
        <v>592</v>
      </c>
      <c r="C9" s="37" t="s">
        <v>9</v>
      </c>
      <c r="D9" s="38" t="s">
        <v>10</v>
      </c>
      <c r="E9" s="39"/>
      <c r="F9" s="40" t="s">
        <v>19</v>
      </c>
    </row>
    <row r="10" spans="1:6" x14ac:dyDescent="0.3">
      <c r="D10" s="41"/>
    </row>
    <row r="11" spans="1:6" ht="19.95" customHeight="1" x14ac:dyDescent="0.3">
      <c r="A11" s="297" t="s">
        <v>22</v>
      </c>
      <c r="B11" s="292"/>
      <c r="C11" s="292"/>
      <c r="D11" s="292"/>
      <c r="E11" s="292"/>
      <c r="F11" s="293"/>
    </row>
    <row r="12" spans="1:6" ht="22.8" customHeight="1" x14ac:dyDescent="0.3">
      <c r="A12" s="23" t="s">
        <v>23</v>
      </c>
      <c r="B12" s="42">
        <v>530000</v>
      </c>
      <c r="C12" s="43" t="s">
        <v>24</v>
      </c>
      <c r="D12" s="44" t="s">
        <v>62</v>
      </c>
      <c r="E12" s="26"/>
      <c r="F12" s="45" t="s">
        <v>25</v>
      </c>
    </row>
    <row r="13" spans="1:6" ht="22.8" customHeight="1" x14ac:dyDescent="0.3">
      <c r="A13" s="46" t="s">
        <v>26</v>
      </c>
      <c r="B13" s="285">
        <v>0.995</v>
      </c>
      <c r="C13" s="47" t="s">
        <v>27</v>
      </c>
      <c r="D13" s="48" t="s">
        <v>62</v>
      </c>
      <c r="E13" s="49"/>
      <c r="F13" s="50" t="s">
        <v>28</v>
      </c>
    </row>
    <row r="14" spans="1:6" ht="22.8" customHeight="1" x14ac:dyDescent="0.3">
      <c r="A14" s="51" t="s">
        <v>29</v>
      </c>
      <c r="B14" s="52">
        <v>8600</v>
      </c>
      <c r="C14" s="37" t="s">
        <v>30</v>
      </c>
      <c r="D14" s="44" t="s">
        <v>62</v>
      </c>
      <c r="E14" s="36"/>
      <c r="F14" s="8" t="s">
        <v>31</v>
      </c>
    </row>
    <row r="15" spans="1:6" x14ac:dyDescent="0.3">
      <c r="D15" s="41"/>
    </row>
    <row r="16" spans="1:6" ht="19.95" customHeight="1" x14ac:dyDescent="0.3">
      <c r="A16" s="297" t="s">
        <v>32</v>
      </c>
      <c r="B16" s="292"/>
      <c r="C16" s="292"/>
      <c r="D16" s="292"/>
      <c r="E16" s="292"/>
      <c r="F16" s="293"/>
    </row>
    <row r="17" spans="1:6" ht="22.8" customHeight="1" x14ac:dyDescent="0.3">
      <c r="A17" s="23" t="s">
        <v>33</v>
      </c>
      <c r="B17" s="53">
        <v>0.188</v>
      </c>
      <c r="C17" s="43" t="s">
        <v>34</v>
      </c>
      <c r="D17" s="44" t="s">
        <v>62</v>
      </c>
      <c r="E17" s="54"/>
      <c r="F17" s="45" t="s">
        <v>35</v>
      </c>
    </row>
    <row r="18" spans="1:6" ht="34.200000000000003" customHeight="1" x14ac:dyDescent="0.3">
      <c r="A18" s="23" t="s">
        <v>36</v>
      </c>
      <c r="B18" s="53"/>
      <c r="C18" s="43" t="s">
        <v>37</v>
      </c>
      <c r="D18" s="44" t="s">
        <v>62</v>
      </c>
      <c r="E18" s="26" t="s">
        <v>597</v>
      </c>
      <c r="F18" s="45" t="s">
        <v>38</v>
      </c>
    </row>
    <row r="19" spans="1:6" x14ac:dyDescent="0.3">
      <c r="D19" s="41"/>
    </row>
    <row r="20" spans="1:6" ht="34.200000000000003" customHeight="1" x14ac:dyDescent="0.3">
      <c r="A20" s="291" t="s">
        <v>39</v>
      </c>
      <c r="B20" s="292"/>
      <c r="C20" s="292"/>
      <c r="D20" s="292"/>
      <c r="E20" s="292"/>
      <c r="F20" s="293"/>
    </row>
    <row r="21" spans="1:6" ht="15" customHeight="1" x14ac:dyDescent="0.3">
      <c r="A21" s="23" t="s">
        <v>40</v>
      </c>
      <c r="B21" s="53">
        <v>0.825125</v>
      </c>
      <c r="C21" s="43" t="s">
        <v>41</v>
      </c>
      <c r="D21" s="44" t="s">
        <v>62</v>
      </c>
      <c r="E21" s="54"/>
      <c r="F21" s="45" t="s">
        <v>42</v>
      </c>
    </row>
    <row r="22" spans="1:6" ht="15" customHeight="1" x14ac:dyDescent="0.3">
      <c r="A22" s="23" t="s">
        <v>43</v>
      </c>
      <c r="B22" s="53"/>
      <c r="C22" s="28" t="s">
        <v>571</v>
      </c>
      <c r="D22" s="44" t="s">
        <v>18</v>
      </c>
      <c r="E22" s="26" t="s">
        <v>597</v>
      </c>
      <c r="F22" s="45" t="s">
        <v>44</v>
      </c>
    </row>
    <row r="23" spans="1:6" x14ac:dyDescent="0.3">
      <c r="D23" s="41"/>
    </row>
    <row r="24" spans="1:6" ht="19.95" customHeight="1" x14ac:dyDescent="0.3">
      <c r="A24" s="297" t="s">
        <v>45</v>
      </c>
      <c r="B24" s="292"/>
      <c r="C24" s="292"/>
      <c r="D24" s="292"/>
      <c r="E24" s="292"/>
      <c r="F24" s="293"/>
    </row>
    <row r="25" spans="1:6" ht="15" customHeight="1" x14ac:dyDescent="0.3">
      <c r="A25" s="23" t="s">
        <v>46</v>
      </c>
      <c r="B25" s="286">
        <v>350000</v>
      </c>
      <c r="C25" s="37" t="s">
        <v>47</v>
      </c>
      <c r="D25" s="44" t="s">
        <v>62</v>
      </c>
      <c r="E25" s="54"/>
      <c r="F25" s="55" t="s">
        <v>48</v>
      </c>
    </row>
    <row r="26" spans="1:6" ht="30" customHeight="1" x14ac:dyDescent="0.3">
      <c r="A26" s="23" t="s">
        <v>49</v>
      </c>
      <c r="B26" s="286">
        <v>12000000</v>
      </c>
      <c r="C26" s="37" t="s">
        <v>47</v>
      </c>
      <c r="D26" s="44" t="s">
        <v>62</v>
      </c>
      <c r="E26" s="54"/>
      <c r="F26" s="55" t="s">
        <v>50</v>
      </c>
    </row>
    <row r="27" spans="1:6" ht="15" customHeight="1" x14ac:dyDescent="0.3">
      <c r="A27" s="46" t="s">
        <v>51</v>
      </c>
      <c r="B27" s="287">
        <v>0</v>
      </c>
      <c r="C27" s="57" t="s">
        <v>47</v>
      </c>
      <c r="D27" s="48" t="s">
        <v>62</v>
      </c>
      <c r="E27" s="58"/>
      <c r="F27" s="55" t="s">
        <v>52</v>
      </c>
    </row>
    <row r="28" spans="1:6" ht="15" customHeight="1" x14ac:dyDescent="0.3">
      <c r="A28" s="51" t="s">
        <v>53</v>
      </c>
      <c r="B28" s="59">
        <f>B25+B26+B27</f>
        <v>12350000</v>
      </c>
      <c r="C28" s="37" t="s">
        <v>47</v>
      </c>
      <c r="D28" s="60" t="s">
        <v>54</v>
      </c>
      <c r="E28" s="61"/>
      <c r="F28" s="55" t="s">
        <v>55</v>
      </c>
    </row>
    <row r="29" spans="1:6" ht="15" customHeight="1" x14ac:dyDescent="0.3">
      <c r="D29" s="41"/>
    </row>
    <row r="30" spans="1:6" x14ac:dyDescent="0.3">
      <c r="A30" s="291" t="s">
        <v>56</v>
      </c>
      <c r="B30" s="292"/>
      <c r="C30" s="292"/>
      <c r="D30" s="292"/>
      <c r="E30" s="292"/>
      <c r="F30" s="293"/>
    </row>
    <row r="31" spans="1:6" x14ac:dyDescent="0.3">
      <c r="A31" s="23" t="s">
        <v>46</v>
      </c>
      <c r="B31" s="42"/>
      <c r="C31" s="37" t="s">
        <v>47</v>
      </c>
      <c r="D31" s="44" t="s">
        <v>62</v>
      </c>
      <c r="E31" s="54"/>
      <c r="F31" s="55" t="s">
        <v>48</v>
      </c>
    </row>
    <row r="32" spans="1:6" ht="22.8" customHeight="1" x14ac:dyDescent="0.3">
      <c r="A32" s="23" t="s">
        <v>49</v>
      </c>
      <c r="B32" s="42">
        <v>600000</v>
      </c>
      <c r="C32" s="37" t="s">
        <v>47</v>
      </c>
      <c r="D32" s="44" t="s">
        <v>62</v>
      </c>
      <c r="E32" s="54"/>
      <c r="F32" s="55" t="s">
        <v>50</v>
      </c>
    </row>
    <row r="33" spans="1:6" x14ac:dyDescent="0.3">
      <c r="A33" s="46" t="s">
        <v>51</v>
      </c>
      <c r="B33" s="56">
        <v>0</v>
      </c>
      <c r="C33" s="57" t="s">
        <v>47</v>
      </c>
      <c r="D33" s="48" t="s">
        <v>62</v>
      </c>
      <c r="E33" s="58"/>
      <c r="F33" s="55" t="s">
        <v>52</v>
      </c>
    </row>
    <row r="34" spans="1:6" x14ac:dyDescent="0.3">
      <c r="A34" s="51" t="s">
        <v>53</v>
      </c>
      <c r="B34" s="59">
        <f>B31+B32+B33</f>
        <v>600000</v>
      </c>
      <c r="C34" s="37" t="s">
        <v>47</v>
      </c>
      <c r="D34" s="60" t="s">
        <v>54</v>
      </c>
      <c r="E34" s="61"/>
      <c r="F34" s="55" t="s">
        <v>55</v>
      </c>
    </row>
    <row r="35" spans="1:6" x14ac:dyDescent="0.3">
      <c r="D35" s="41"/>
    </row>
    <row r="36" spans="1:6" ht="19.95" customHeight="1" x14ac:dyDescent="0.3">
      <c r="A36" s="291" t="s">
        <v>57</v>
      </c>
      <c r="B36" s="292"/>
      <c r="C36" s="292"/>
      <c r="D36" s="292"/>
      <c r="E36" s="292"/>
      <c r="F36" s="293"/>
    </row>
    <row r="37" spans="1:6" ht="22.8" customHeight="1" x14ac:dyDescent="0.3">
      <c r="A37" s="62" t="s">
        <v>58</v>
      </c>
      <c r="B37" s="63">
        <v>1100000</v>
      </c>
      <c r="C37" s="64" t="s">
        <v>59</v>
      </c>
      <c r="D37" s="44" t="s">
        <v>62</v>
      </c>
      <c r="E37" s="61"/>
      <c r="F37" s="55" t="s">
        <v>60</v>
      </c>
    </row>
    <row r="38" spans="1:6" ht="22.8" customHeight="1" x14ac:dyDescent="0.3">
      <c r="A38" s="62" t="s">
        <v>61</v>
      </c>
      <c r="B38" s="65" t="s">
        <v>381</v>
      </c>
      <c r="C38" s="64" t="s">
        <v>9</v>
      </c>
      <c r="D38" s="25" t="s">
        <v>62</v>
      </c>
      <c r="E38" s="61"/>
      <c r="F38" s="66" t="s">
        <v>63</v>
      </c>
    </row>
    <row r="39" spans="1:6" ht="22.8" customHeight="1" x14ac:dyDescent="0.3">
      <c r="D39" s="41"/>
    </row>
    <row r="40" spans="1:6" ht="22.8" customHeight="1" x14ac:dyDescent="0.3">
      <c r="A40" s="291" t="s">
        <v>64</v>
      </c>
      <c r="B40" s="292"/>
      <c r="C40" s="292"/>
      <c r="D40" s="292"/>
      <c r="E40" s="292"/>
      <c r="F40" s="293"/>
    </row>
    <row r="41" spans="1:6" ht="22.8" customHeight="1" x14ac:dyDescent="0.3">
      <c r="A41" s="67" t="s">
        <v>65</v>
      </c>
      <c r="B41" s="68">
        <v>0</v>
      </c>
      <c r="C41" s="69" t="s">
        <v>66</v>
      </c>
      <c r="D41" s="70" t="s">
        <v>18</v>
      </c>
      <c r="E41" s="71"/>
      <c r="F41" s="72" t="s">
        <v>67</v>
      </c>
    </row>
    <row r="42" spans="1:6" ht="34.200000000000003" customHeight="1" x14ac:dyDescent="0.3">
      <c r="A42" s="67" t="s">
        <v>68</v>
      </c>
      <c r="B42" s="71" t="s">
        <v>18</v>
      </c>
      <c r="C42" s="69" t="s">
        <v>9</v>
      </c>
      <c r="D42" s="25" t="s">
        <v>62</v>
      </c>
      <c r="E42" s="71"/>
      <c r="F42" s="66" t="s">
        <v>63</v>
      </c>
    </row>
    <row r="43" spans="1:6" ht="15" customHeight="1" x14ac:dyDescent="0.3">
      <c r="D43" s="41"/>
    </row>
    <row r="44" spans="1:6" ht="15" customHeight="1" x14ac:dyDescent="0.3">
      <c r="A44" s="291" t="s">
        <v>69</v>
      </c>
      <c r="B44" s="292"/>
      <c r="C44" s="292"/>
      <c r="D44" s="292"/>
      <c r="E44" s="292"/>
      <c r="F44" s="293"/>
    </row>
    <row r="45" spans="1:6" ht="30" customHeight="1" x14ac:dyDescent="0.3">
      <c r="A45" s="73" t="s">
        <v>70</v>
      </c>
      <c r="B45" s="74" t="s">
        <v>357</v>
      </c>
      <c r="C45" s="75" t="s">
        <v>9</v>
      </c>
      <c r="D45" s="25" t="s">
        <v>62</v>
      </c>
      <c r="E45" s="76" t="s">
        <v>598</v>
      </c>
      <c r="F45" s="66" t="s">
        <v>63</v>
      </c>
    </row>
    <row r="46" spans="1:6" ht="15" customHeight="1" x14ac:dyDescent="0.3">
      <c r="A46" s="77" t="s">
        <v>71</v>
      </c>
      <c r="B46" s="78">
        <v>25000</v>
      </c>
      <c r="C46" s="43" t="s">
        <v>66</v>
      </c>
      <c r="D46" s="70" t="s">
        <v>62</v>
      </c>
      <c r="E46" s="76" t="s">
        <v>598</v>
      </c>
      <c r="F46" s="66" t="s">
        <v>72</v>
      </c>
    </row>
    <row r="47" spans="1:6" ht="30" customHeight="1" x14ac:dyDescent="0.3">
      <c r="A47" s="80" t="s">
        <v>73</v>
      </c>
      <c r="B47" s="74" t="s">
        <v>18</v>
      </c>
      <c r="C47" s="81" t="s">
        <v>9</v>
      </c>
      <c r="D47" s="25" t="s">
        <v>62</v>
      </c>
      <c r="E47" s="79"/>
      <c r="F47" s="66" t="s">
        <v>63</v>
      </c>
    </row>
    <row r="48" spans="1:6" ht="15" customHeight="1" x14ac:dyDescent="0.3">
      <c r="A48" s="77" t="s">
        <v>74</v>
      </c>
      <c r="B48" s="78"/>
      <c r="C48" s="43" t="s">
        <v>66</v>
      </c>
      <c r="D48" s="70" t="s">
        <v>18</v>
      </c>
      <c r="E48" s="79"/>
      <c r="F48" s="66" t="s">
        <v>72</v>
      </c>
    </row>
    <row r="49" spans="1:6" ht="30" customHeight="1" x14ac:dyDescent="0.3">
      <c r="A49" s="82" t="s">
        <v>75</v>
      </c>
      <c r="B49" s="74" t="s">
        <v>18</v>
      </c>
      <c r="C49" s="83" t="s">
        <v>9</v>
      </c>
      <c r="D49" s="84" t="s">
        <v>62</v>
      </c>
      <c r="E49" s="85"/>
      <c r="F49" s="66" t="s">
        <v>63</v>
      </c>
    </row>
    <row r="50" spans="1:6" ht="15" customHeight="1" x14ac:dyDescent="0.3">
      <c r="A50" s="67" t="s">
        <v>76</v>
      </c>
      <c r="B50" s="68"/>
      <c r="C50" s="69" t="s">
        <v>66</v>
      </c>
      <c r="D50" s="70" t="s">
        <v>18</v>
      </c>
      <c r="E50" s="71"/>
      <c r="F50" s="72" t="s">
        <v>72</v>
      </c>
    </row>
    <row r="51" spans="1:6" ht="15" customHeight="1" x14ac:dyDescent="0.3">
      <c r="D51" s="41"/>
    </row>
    <row r="52" spans="1:6" ht="15" customHeight="1" x14ac:dyDescent="0.3">
      <c r="A52" s="291" t="s">
        <v>77</v>
      </c>
      <c r="B52" s="292"/>
      <c r="C52" s="292"/>
      <c r="D52" s="292"/>
      <c r="E52" s="292"/>
      <c r="F52" s="293"/>
    </row>
    <row r="53" spans="1:6" ht="30" customHeight="1" x14ac:dyDescent="0.3">
      <c r="A53" s="67" t="s">
        <v>78</v>
      </c>
      <c r="B53" s="70" t="s">
        <v>400</v>
      </c>
      <c r="C53" s="69" t="s">
        <v>9</v>
      </c>
      <c r="D53" s="86" t="s">
        <v>62</v>
      </c>
      <c r="E53" s="71"/>
      <c r="F53" s="72" t="s">
        <v>63</v>
      </c>
    </row>
    <row r="54" spans="1:6" ht="15" customHeight="1" x14ac:dyDescent="0.3">
      <c r="A54" s="67" t="s">
        <v>79</v>
      </c>
      <c r="B54" s="68">
        <v>200000</v>
      </c>
      <c r="C54" s="69" t="s">
        <v>80</v>
      </c>
      <c r="D54" s="70" t="s">
        <v>62</v>
      </c>
      <c r="E54" s="71"/>
      <c r="F54" s="72" t="s">
        <v>81</v>
      </c>
    </row>
    <row r="55" spans="1:6" ht="30" customHeight="1" x14ac:dyDescent="0.3">
      <c r="A55" s="67" t="s">
        <v>82</v>
      </c>
      <c r="B55" s="70" t="s">
        <v>18</v>
      </c>
      <c r="C55" s="69" t="s">
        <v>9</v>
      </c>
      <c r="D55" s="86" t="s">
        <v>62</v>
      </c>
      <c r="E55" s="71"/>
      <c r="F55" s="72" t="s">
        <v>63</v>
      </c>
    </row>
    <row r="56" spans="1:6" ht="15" customHeight="1" x14ac:dyDescent="0.3">
      <c r="A56" s="67" t="s">
        <v>83</v>
      </c>
      <c r="B56" s="68">
        <v>0</v>
      </c>
      <c r="C56" s="69" t="s">
        <v>80</v>
      </c>
      <c r="D56" s="70" t="s">
        <v>18</v>
      </c>
      <c r="E56" s="71"/>
      <c r="F56" s="72" t="s">
        <v>81</v>
      </c>
    </row>
    <row r="57" spans="1:6" ht="30" customHeight="1" x14ac:dyDescent="0.3">
      <c r="A57" s="67" t="s">
        <v>84</v>
      </c>
      <c r="B57" s="70" t="s">
        <v>18</v>
      </c>
      <c r="C57" s="69" t="s">
        <v>9</v>
      </c>
      <c r="D57" s="86" t="s">
        <v>62</v>
      </c>
      <c r="E57" s="71"/>
      <c r="F57" s="72" t="s">
        <v>63</v>
      </c>
    </row>
    <row r="58" spans="1:6" ht="15" customHeight="1" x14ac:dyDescent="0.3">
      <c r="A58" s="67" t="s">
        <v>85</v>
      </c>
      <c r="B58" s="68">
        <v>0</v>
      </c>
      <c r="C58" s="69" t="s">
        <v>80</v>
      </c>
      <c r="D58" s="70" t="s">
        <v>18</v>
      </c>
      <c r="E58" s="71"/>
      <c r="F58" s="72" t="s">
        <v>81</v>
      </c>
    </row>
    <row r="59" spans="1:6" ht="30" customHeight="1" x14ac:dyDescent="0.3">
      <c r="A59" s="67" t="s">
        <v>86</v>
      </c>
      <c r="B59" s="70" t="s">
        <v>18</v>
      </c>
      <c r="C59" s="69" t="s">
        <v>9</v>
      </c>
      <c r="D59" s="86" t="s">
        <v>62</v>
      </c>
      <c r="E59" s="71"/>
      <c r="F59" s="72" t="s">
        <v>63</v>
      </c>
    </row>
    <row r="60" spans="1:6" ht="15" customHeight="1" x14ac:dyDescent="0.3">
      <c r="A60" s="67" t="s">
        <v>87</v>
      </c>
      <c r="B60" s="68">
        <v>0</v>
      </c>
      <c r="C60" s="69" t="s">
        <v>80</v>
      </c>
      <c r="D60" s="70" t="s">
        <v>18</v>
      </c>
      <c r="E60" s="71"/>
      <c r="F60" s="72" t="s">
        <v>81</v>
      </c>
    </row>
    <row r="61" spans="1:6" ht="15" customHeight="1" x14ac:dyDescent="0.3">
      <c r="D61" s="41"/>
    </row>
    <row r="62" spans="1:6" ht="15" customHeight="1" x14ac:dyDescent="0.3">
      <c r="A62" s="291" t="s">
        <v>88</v>
      </c>
      <c r="B62" s="292"/>
      <c r="C62" s="292"/>
      <c r="D62" s="292"/>
      <c r="E62" s="292"/>
      <c r="F62" s="293"/>
    </row>
    <row r="63" spans="1:6" ht="30" customHeight="1" x14ac:dyDescent="0.3">
      <c r="A63" s="67" t="s">
        <v>89</v>
      </c>
      <c r="B63" s="87" t="s">
        <v>18</v>
      </c>
      <c r="C63" s="69" t="s">
        <v>9</v>
      </c>
      <c r="D63" s="25" t="s">
        <v>62</v>
      </c>
      <c r="E63" s="71"/>
      <c r="F63" s="66" t="s">
        <v>63</v>
      </c>
    </row>
    <row r="64" spans="1:6" ht="15" customHeight="1" x14ac:dyDescent="0.3">
      <c r="A64" s="67" t="s">
        <v>90</v>
      </c>
      <c r="B64" s="88">
        <v>0</v>
      </c>
      <c r="C64" s="69" t="s">
        <v>80</v>
      </c>
      <c r="D64" s="70" t="s">
        <v>18</v>
      </c>
      <c r="E64" s="71"/>
      <c r="F64" s="72" t="s">
        <v>91</v>
      </c>
    </row>
    <row r="65" spans="1:6" ht="30" customHeight="1" x14ac:dyDescent="0.3">
      <c r="A65" s="67" t="s">
        <v>92</v>
      </c>
      <c r="B65" s="87" t="s">
        <v>18</v>
      </c>
      <c r="C65" s="69" t="s">
        <v>9</v>
      </c>
      <c r="D65" s="25" t="s">
        <v>62</v>
      </c>
      <c r="E65" s="71"/>
      <c r="F65" s="66" t="s">
        <v>63</v>
      </c>
    </row>
    <row r="66" spans="1:6" ht="15" customHeight="1" x14ac:dyDescent="0.3">
      <c r="A66" s="67" t="s">
        <v>93</v>
      </c>
      <c r="B66" s="88">
        <v>0</v>
      </c>
      <c r="C66" s="69" t="s">
        <v>80</v>
      </c>
      <c r="D66" s="70" t="s">
        <v>18</v>
      </c>
      <c r="E66" s="71"/>
      <c r="F66" s="72" t="s">
        <v>91</v>
      </c>
    </row>
    <row r="67" spans="1:6" ht="30" customHeight="1" x14ac:dyDescent="0.3">
      <c r="A67" s="67" t="s">
        <v>94</v>
      </c>
      <c r="B67" s="87" t="s">
        <v>18</v>
      </c>
      <c r="C67" s="69" t="s">
        <v>9</v>
      </c>
      <c r="D67" s="25" t="s">
        <v>62</v>
      </c>
      <c r="E67" s="71"/>
      <c r="F67" s="66" t="s">
        <v>63</v>
      </c>
    </row>
    <row r="68" spans="1:6" ht="15" customHeight="1" x14ac:dyDescent="0.3">
      <c r="A68" s="67" t="s">
        <v>95</v>
      </c>
      <c r="B68" s="88">
        <v>0</v>
      </c>
      <c r="C68" s="69" t="s">
        <v>80</v>
      </c>
      <c r="D68" s="70" t="s">
        <v>18</v>
      </c>
      <c r="E68" s="71"/>
      <c r="F68" s="72" t="s">
        <v>91</v>
      </c>
    </row>
    <row r="69" spans="1:6" ht="30" customHeight="1" x14ac:dyDescent="0.3">
      <c r="A69" s="67" t="s">
        <v>96</v>
      </c>
      <c r="B69" s="87" t="s">
        <v>18</v>
      </c>
      <c r="C69" s="69" t="s">
        <v>9</v>
      </c>
      <c r="D69" s="25" t="s">
        <v>62</v>
      </c>
      <c r="E69" s="71"/>
      <c r="F69" s="66" t="s">
        <v>63</v>
      </c>
    </row>
    <row r="70" spans="1:6" x14ac:dyDescent="0.3">
      <c r="A70" s="67" t="s">
        <v>97</v>
      </c>
      <c r="B70" s="88">
        <v>0</v>
      </c>
      <c r="C70" s="69" t="s">
        <v>80</v>
      </c>
      <c r="D70" s="70" t="s">
        <v>18</v>
      </c>
      <c r="E70" s="71"/>
      <c r="F70" s="72" t="s">
        <v>91</v>
      </c>
    </row>
    <row r="71" spans="1:6" ht="15" customHeight="1" x14ac:dyDescent="0.3">
      <c r="D71" s="41"/>
    </row>
    <row r="72" spans="1:6" ht="19.95" customHeight="1" x14ac:dyDescent="0.3">
      <c r="A72" s="291" t="s">
        <v>98</v>
      </c>
      <c r="B72" s="292"/>
      <c r="C72" s="292"/>
      <c r="D72" s="292"/>
      <c r="E72" s="292"/>
      <c r="F72" s="293"/>
    </row>
    <row r="73" spans="1:6" ht="26.4" customHeight="1" x14ac:dyDescent="0.3">
      <c r="A73" s="89" t="s">
        <v>99</v>
      </c>
      <c r="B73" s="87" t="s">
        <v>371</v>
      </c>
      <c r="C73" s="90" t="s">
        <v>9</v>
      </c>
      <c r="D73" s="25" t="s">
        <v>62</v>
      </c>
      <c r="E73" s="91"/>
      <c r="F73" s="72" t="s">
        <v>100</v>
      </c>
    </row>
    <row r="74" spans="1:6" ht="26.4" customHeight="1" x14ac:dyDescent="0.3">
      <c r="A74" s="89" t="s">
        <v>101</v>
      </c>
      <c r="B74" s="288" t="str">
        <f>_xlfn.XLOOKUP(B73,'Emission Factors'!A108:A111,'Emission Factors'!C108:C111,"Not found - use override",0)</f>
        <v>Not found - use override</v>
      </c>
      <c r="C74" s="69" t="s">
        <v>102</v>
      </c>
      <c r="D74" s="25" t="s">
        <v>103</v>
      </c>
      <c r="E74" s="91"/>
      <c r="F74" s="72" t="s">
        <v>104</v>
      </c>
    </row>
    <row r="75" spans="1:6" ht="26.4" customHeight="1" x14ac:dyDescent="0.3">
      <c r="A75" s="89" t="s">
        <v>105</v>
      </c>
      <c r="B75" s="289">
        <v>1E-4</v>
      </c>
      <c r="C75" s="69"/>
      <c r="D75" s="70" t="s">
        <v>371</v>
      </c>
      <c r="E75" s="91"/>
      <c r="F75" s="72" t="s">
        <v>106</v>
      </c>
    </row>
    <row r="76" spans="1:6" ht="26.4" customHeight="1" x14ac:dyDescent="0.3">
      <c r="A76" s="89" t="s">
        <v>107</v>
      </c>
      <c r="B76" s="290">
        <f>IF(B75&lt;&gt;"",B75,IF(ISNUMBER(B74),B74,0))</f>
        <v>1E-4</v>
      </c>
      <c r="C76" s="69" t="s">
        <v>102</v>
      </c>
      <c r="D76" s="60" t="s">
        <v>54</v>
      </c>
      <c r="E76" s="91"/>
      <c r="F76" s="72" t="s">
        <v>108</v>
      </c>
    </row>
  </sheetData>
  <sheetProtection sheet="1" formatCells="0" formatColumns="0" formatRows="0" sort="0" autoFilter="0" pivotTables="0"/>
  <mergeCells count="13">
    <mergeCell ref="A72:F72"/>
    <mergeCell ref="A1:F1"/>
    <mergeCell ref="A40:F40"/>
    <mergeCell ref="A62:F62"/>
    <mergeCell ref="A3:F3"/>
    <mergeCell ref="A30:F30"/>
    <mergeCell ref="A20:F20"/>
    <mergeCell ref="A24:F24"/>
    <mergeCell ref="A16:F16"/>
    <mergeCell ref="A11:F11"/>
    <mergeCell ref="A52:F52"/>
    <mergeCell ref="A36:F36"/>
    <mergeCell ref="A44:F44"/>
  </mergeCells>
  <dataValidations count="6">
    <dataValidation type="list" allowBlank="1" sqref="D10:D11 D15:D16 D20 D23:D24 D29:D30 D35:D36 D39 D72 D74" xr:uid="{00000000-0002-0000-0100-000000000000}">
      <formula1>"User/Site/Design,Default,Calculated"</formula1>
    </dataValidation>
    <dataValidation type="list" allowBlank="1" sqref="D3" xr:uid="{00000000-0002-0000-0100-000001000000}">
      <formula1>"Please select,User/Site/Design,Default,Calculated"</formula1>
    </dataValidation>
    <dataValidation type="list" allowBlank="1" sqref="B7:B9" xr:uid="{00000000-0002-0000-0100-000002000000}">
      <formula1>"Please select,Yes,No"</formula1>
    </dataValidation>
    <dataValidation type="list" allowBlank="1" showInputMessage="1" showErrorMessage="1" sqref="B72" xr:uid="{00000000-0002-0000-0100-000003000000}">
      <formula1>"""Please select,CO₂,CH₄ (fossil),CH₄ (biogenic),N₂O,Other"""</formula1>
    </dataValidation>
    <dataValidation type="list" allowBlank="1" showInputMessage="1" showErrorMessage="1" sqref="D12:D14 D17:D19 D21:D22 D25:D27 D31:D33 D37 D41 D46 D48 D50 D54 D56 D58 D60 D64 D66 D68 D70:D71 D75" xr:uid="{00000000-0002-0000-0100-000004000000}">
      <formula1>"Please select,User/Site/Design,Default,Calculated,Other"</formula1>
    </dataValidation>
    <dataValidation type="list" allowBlank="1" showInputMessage="1" showErrorMessage="1" sqref="D40 D44 D52 D62" xr:uid="{00000000-0002-0000-0100-000005000000}">
      <formula1>"""Please select,User/Site/Design,Default,Calculated"""</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6">
        <x14:dataValidation type="list" allowBlank="1" showInputMessage="1" showErrorMessage="1" xr:uid="{20929D88-986D-46D0-88C9-4E67B53EC785}">
          <x14:formula1>
            <xm:f>'Emission Factors'!$A$27:$A$31</xm:f>
          </x14:formula1>
          <xm:sqref>B38</xm:sqref>
        </x14:dataValidation>
        <x14:dataValidation type="list" allowBlank="1" showInputMessage="1" showErrorMessage="1" xr:uid="{4ABC0F1F-AC77-46BB-9406-DF3C0F83356F}">
          <x14:formula1>
            <xm:f>'Emission Factors'!$A$61:$A$66</xm:f>
          </x14:formula1>
          <xm:sqref>B42</xm:sqref>
        </x14:dataValidation>
        <x14:dataValidation type="list" allowBlank="1" showInputMessage="1" showErrorMessage="1" xr:uid="{D42F90FC-744F-46F1-9A69-FFEFC9D67425}">
          <x14:formula1>
            <xm:f>'Emission Factors'!$A$14:$A$23</xm:f>
          </x14:formula1>
          <xm:sqref>B45 B47 B49</xm:sqref>
        </x14:dataValidation>
        <x14:dataValidation type="list" allowBlank="1" showInputMessage="1" showErrorMessage="1" xr:uid="{F1EBB6D7-6734-4682-9565-957E8886F579}">
          <x14:formula1>
            <xm:f>'Emission Factors'!$A$39:$A$57</xm:f>
          </x14:formula1>
          <xm:sqref>B59 B53 B55 B57</xm:sqref>
        </x14:dataValidation>
        <x14:dataValidation type="list" allowBlank="1" showInputMessage="1" showErrorMessage="1" xr:uid="{A6DD4D95-1E24-4804-8AE5-7A2821ADB676}">
          <x14:formula1>
            <xm:f>'Emission Factors'!$A$70:$A$74</xm:f>
          </x14:formula1>
          <xm:sqref>B63 B65 B67 B69</xm:sqref>
        </x14:dataValidation>
        <x14:dataValidation type="list" allowBlank="1" showInputMessage="1" showErrorMessage="1" xr:uid="{2B98FC84-6F3E-4DE2-B06A-7D03CC975C6B}">
          <x14:formula1>
            <xm:f>'Emission Factors'!$A$107:$A$112</xm:f>
          </x14:formula1>
          <xm:sqref>B73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A6B"/>
  </sheetPr>
  <dimension ref="A1:L51"/>
  <sheetViews>
    <sheetView zoomScale="90" zoomScaleNormal="90" workbookViewId="0">
      <pane ySplit="13" topLeftCell="A14" activePane="bottomLeft" state="frozen"/>
      <selection pane="bottomLeft" activeCell="F41" sqref="F41"/>
    </sheetView>
  </sheetViews>
  <sheetFormatPr defaultRowHeight="14.4" x14ac:dyDescent="0.3"/>
  <cols>
    <col min="1" max="1" width="40.77734375" style="2" customWidth="1"/>
    <col min="2" max="2" width="15.77734375" style="2" customWidth="1"/>
    <col min="3" max="4" width="30.77734375" style="2" customWidth="1"/>
    <col min="5" max="6" width="15.77734375" style="2" customWidth="1"/>
    <col min="7" max="7" width="30.77734375" style="2" customWidth="1"/>
    <col min="8" max="10" width="15.77734375" style="2" customWidth="1"/>
    <col min="11" max="11" width="30.77734375" style="2" customWidth="1"/>
    <col min="12" max="12" width="15.77734375" style="2" customWidth="1"/>
    <col min="13" max="13" width="8.88671875" style="2" customWidth="1"/>
    <col min="14" max="16384" width="8.88671875" style="2"/>
  </cols>
  <sheetData>
    <row r="1" spans="1:12" ht="19.95" customHeight="1" x14ac:dyDescent="0.3">
      <c r="A1" s="298" t="s">
        <v>131</v>
      </c>
      <c r="B1" s="295"/>
      <c r="C1" s="295"/>
      <c r="D1" s="295"/>
      <c r="E1" s="295"/>
      <c r="F1" s="295"/>
      <c r="G1" s="295"/>
      <c r="H1" s="295"/>
      <c r="I1" s="295"/>
      <c r="J1" s="295"/>
      <c r="K1" s="295"/>
      <c r="L1" s="296"/>
    </row>
    <row r="2" spans="1:12" ht="15" customHeight="1" x14ac:dyDescent="0.3">
      <c r="A2" s="92" t="s">
        <v>132</v>
      </c>
      <c r="B2" s="310" t="s">
        <v>133</v>
      </c>
      <c r="C2" s="295"/>
      <c r="D2" s="295"/>
      <c r="E2" s="295"/>
      <c r="F2" s="295"/>
      <c r="G2" s="295"/>
      <c r="H2" s="295"/>
      <c r="I2" s="295"/>
      <c r="J2" s="295"/>
      <c r="K2" s="295"/>
      <c r="L2" s="296"/>
    </row>
    <row r="3" spans="1:12" ht="15" customHeight="1" x14ac:dyDescent="0.3">
      <c r="A3" s="92" t="s">
        <v>134</v>
      </c>
      <c r="B3" s="310" t="s">
        <v>135</v>
      </c>
      <c r="C3" s="295"/>
      <c r="D3" s="295"/>
      <c r="E3" s="295"/>
      <c r="F3" s="295"/>
      <c r="G3" s="295"/>
      <c r="H3" s="295"/>
      <c r="I3" s="295"/>
      <c r="J3" s="295"/>
      <c r="K3" s="295"/>
      <c r="L3" s="296"/>
    </row>
    <row r="4" spans="1:12" ht="15" customHeight="1" x14ac:dyDescent="0.3">
      <c r="A4" s="92" t="s">
        <v>136</v>
      </c>
      <c r="B4" s="310" t="s">
        <v>137</v>
      </c>
      <c r="C4" s="295"/>
      <c r="D4" s="295"/>
      <c r="E4" s="295"/>
      <c r="F4" s="295"/>
      <c r="G4" s="295"/>
      <c r="H4" s="295"/>
      <c r="I4" s="295"/>
      <c r="J4" s="295"/>
      <c r="K4" s="295"/>
      <c r="L4" s="296"/>
    </row>
    <row r="5" spans="1:12" ht="15" customHeight="1" x14ac:dyDescent="0.3">
      <c r="A5" s="93" t="s">
        <v>138</v>
      </c>
      <c r="B5" s="303" t="s">
        <v>139</v>
      </c>
      <c r="C5" s="304"/>
      <c r="D5" s="304"/>
      <c r="E5" s="304"/>
      <c r="F5" s="304"/>
      <c r="G5" s="304"/>
      <c r="H5" s="304"/>
      <c r="I5" s="304"/>
      <c r="J5" s="304"/>
      <c r="K5" s="304"/>
      <c r="L5" s="305"/>
    </row>
    <row r="6" spans="1:12" ht="15" customHeight="1" x14ac:dyDescent="0.3">
      <c r="A6" s="94" t="s">
        <v>140</v>
      </c>
      <c r="B6" s="313" t="s">
        <v>585</v>
      </c>
      <c r="C6" s="314"/>
      <c r="D6" s="314"/>
      <c r="E6" s="314"/>
      <c r="F6" s="314"/>
      <c r="G6" s="314"/>
      <c r="H6" s="314"/>
      <c r="I6" s="314"/>
      <c r="J6" s="314"/>
      <c r="K6" s="314"/>
      <c r="L6" s="315"/>
    </row>
    <row r="7" spans="1:12" ht="15" customHeight="1" x14ac:dyDescent="0.3">
      <c r="A7" s="95"/>
      <c r="B7" s="96"/>
      <c r="C7" s="97"/>
      <c r="D7" s="97"/>
    </row>
    <row r="8" spans="1:12" ht="15" customHeight="1" x14ac:dyDescent="0.3">
      <c r="A8" s="98" t="s">
        <v>23</v>
      </c>
      <c r="B8" s="99">
        <f>'Project Data'!B12*1000</f>
        <v>530000000</v>
      </c>
      <c r="C8" s="316" t="s">
        <v>141</v>
      </c>
      <c r="D8" s="314"/>
      <c r="E8" s="314"/>
      <c r="F8" s="314"/>
      <c r="G8" s="314"/>
      <c r="H8" s="314"/>
      <c r="I8" s="314"/>
      <c r="J8" s="314"/>
      <c r="K8" s="314"/>
      <c r="L8" s="315"/>
    </row>
    <row r="9" spans="1:12" ht="15" customHeight="1" x14ac:dyDescent="0.3">
      <c r="A9" s="98" t="s">
        <v>142</v>
      </c>
      <c r="B9" s="99">
        <f>B8*'Emission Factors'!B87</f>
        <v>9858000000</v>
      </c>
      <c r="C9" s="316" t="s">
        <v>66</v>
      </c>
      <c r="D9" s="314"/>
      <c r="E9" s="314"/>
      <c r="F9" s="314"/>
      <c r="G9" s="314"/>
      <c r="H9" s="314"/>
      <c r="I9" s="314"/>
      <c r="J9" s="314"/>
      <c r="K9" s="314"/>
      <c r="L9" s="315"/>
    </row>
    <row r="10" spans="1:12" x14ac:dyDescent="0.3">
      <c r="A10" s="95"/>
      <c r="B10" s="96"/>
      <c r="C10" s="97"/>
      <c r="D10" s="97"/>
    </row>
    <row r="11" spans="1:12" ht="19.95" customHeight="1" x14ac:dyDescent="0.3">
      <c r="A11" s="317" t="s">
        <v>143</v>
      </c>
      <c r="B11" s="314"/>
      <c r="C11" s="314"/>
      <c r="D11" s="314"/>
      <c r="E11" s="314"/>
      <c r="F11" s="314"/>
      <c r="G11" s="314"/>
      <c r="H11" s="314"/>
      <c r="I11" s="314"/>
      <c r="J11" s="314"/>
      <c r="K11" s="314"/>
      <c r="L11" s="315"/>
    </row>
    <row r="12" spans="1:12" ht="19.95" customHeight="1" x14ac:dyDescent="0.3">
      <c r="A12" s="311" t="s">
        <v>144</v>
      </c>
      <c r="B12" s="311" t="s">
        <v>145</v>
      </c>
      <c r="C12" s="311" t="s">
        <v>146</v>
      </c>
      <c r="D12" s="4" t="s">
        <v>147</v>
      </c>
      <c r="E12" s="4" t="s">
        <v>148</v>
      </c>
      <c r="F12" s="311" t="s">
        <v>149</v>
      </c>
      <c r="G12" s="299" t="s">
        <v>150</v>
      </c>
      <c r="H12" s="311" t="s">
        <v>151</v>
      </c>
      <c r="I12" s="311" t="s">
        <v>152</v>
      </c>
      <c r="J12" s="299" t="s">
        <v>153</v>
      </c>
      <c r="K12" s="311" t="s">
        <v>5</v>
      </c>
      <c r="L12" s="311" t="s">
        <v>154</v>
      </c>
    </row>
    <row r="13" spans="1:12" ht="19.95" customHeight="1" x14ac:dyDescent="0.3">
      <c r="A13" s="300"/>
      <c r="B13" s="300"/>
      <c r="C13" s="300"/>
      <c r="D13" s="311" t="s">
        <v>155</v>
      </c>
      <c r="E13" s="315"/>
      <c r="F13" s="300"/>
      <c r="G13" s="300"/>
      <c r="H13" s="300"/>
      <c r="I13" s="300"/>
      <c r="J13" s="300"/>
      <c r="K13" s="300"/>
      <c r="L13" s="300"/>
    </row>
    <row r="14" spans="1:12" ht="19.95" customHeight="1" x14ac:dyDescent="0.3">
      <c r="A14" s="23" t="s">
        <v>156</v>
      </c>
      <c r="B14" s="100" t="s">
        <v>157</v>
      </c>
      <c r="C14" s="3" t="s">
        <v>158</v>
      </c>
      <c r="D14" s="101" t="s">
        <v>157</v>
      </c>
      <c r="E14" s="102">
        <f>'Project Data'!B17*'EU RFNBO'!B8</f>
        <v>99640000</v>
      </c>
      <c r="F14" s="103" t="s">
        <v>159</v>
      </c>
      <c r="G14" s="102">
        <f>'Project Data'!B18</f>
        <v>0</v>
      </c>
      <c r="H14" s="104"/>
      <c r="I14" s="105">
        <f t="shared" ref="I14:I27" si="0">IF(H14&lt;&gt;"",H14,IF(ISNUMBER(G14),G14,0))</f>
        <v>0</v>
      </c>
      <c r="J14" s="103" t="s">
        <v>160</v>
      </c>
      <c r="K14" s="76"/>
      <c r="L14" s="106">
        <f>IF(B$9&gt;0,E14*I14/$B$9,0)</f>
        <v>0</v>
      </c>
    </row>
    <row r="15" spans="1:12" ht="19.95" customHeight="1" x14ac:dyDescent="0.3">
      <c r="A15" s="23" t="s">
        <v>161</v>
      </c>
      <c r="B15" s="100" t="s">
        <v>157</v>
      </c>
      <c r="C15" s="3" t="s">
        <v>158</v>
      </c>
      <c r="D15" s="101" t="s">
        <v>157</v>
      </c>
      <c r="E15" s="102">
        <f>'Project Data'!B21*'EU RFNBO'!B8</f>
        <v>437316250</v>
      </c>
      <c r="F15" s="103" t="s">
        <v>162</v>
      </c>
      <c r="G15" s="102">
        <f>'Project Data'!B22</f>
        <v>0</v>
      </c>
      <c r="H15" s="104"/>
      <c r="I15" s="105">
        <f t="shared" si="0"/>
        <v>0</v>
      </c>
      <c r="J15" s="103" t="s">
        <v>163</v>
      </c>
      <c r="K15" s="76"/>
      <c r="L15" s="106">
        <f>IF(B$9&gt;0,E15*I15/$B$9,0)</f>
        <v>0</v>
      </c>
    </row>
    <row r="16" spans="1:12" ht="30" customHeight="1" x14ac:dyDescent="0.3">
      <c r="A16" s="107" t="s">
        <v>164</v>
      </c>
      <c r="B16" s="312" t="s">
        <v>165</v>
      </c>
      <c r="C16" s="318" t="s">
        <v>166</v>
      </c>
      <c r="D16" s="108" t="str">
        <f>'Project Data'!A25</f>
        <v>Grid Electricity Consumption</v>
      </c>
      <c r="E16" s="109">
        <f>('Project Data'!B25+'Project Data'!B31)*1000</f>
        <v>350000000</v>
      </c>
      <c r="F16" s="110" t="s">
        <v>167</v>
      </c>
      <c r="G16" s="109" t="s">
        <v>168</v>
      </c>
      <c r="H16" s="111">
        <v>608</v>
      </c>
      <c r="I16" s="105">
        <f t="shared" si="0"/>
        <v>608</v>
      </c>
      <c r="J16" s="110" t="s">
        <v>169</v>
      </c>
      <c r="K16" s="76"/>
      <c r="L16" s="106">
        <f>IF(B$9&gt;0,E16*I16/$B$9,0)</f>
        <v>21.586528707648611</v>
      </c>
    </row>
    <row r="17" spans="1:12" ht="30" customHeight="1" x14ac:dyDescent="0.3">
      <c r="A17" s="23" t="s">
        <v>164</v>
      </c>
      <c r="B17" s="308"/>
      <c r="C17" s="308"/>
      <c r="D17" s="108" t="str">
        <f>'Project Data'!A26</f>
        <v>Renewable Electricity Consumption</v>
      </c>
      <c r="E17" s="109">
        <f>('Project Data'!B26+'Project Data'!B32)*1000</f>
        <v>12600000000</v>
      </c>
      <c r="F17" s="103" t="s">
        <v>167</v>
      </c>
      <c r="G17" s="112">
        <f>0</f>
        <v>0</v>
      </c>
      <c r="H17" s="104"/>
      <c r="I17" s="113">
        <f t="shared" si="0"/>
        <v>0</v>
      </c>
      <c r="J17" s="103" t="s">
        <v>169</v>
      </c>
      <c r="K17" s="76"/>
      <c r="L17" s="114">
        <f>IF(B$9&gt;0,E17*I17/$B$9,0)</f>
        <v>0</v>
      </c>
    </row>
    <row r="18" spans="1:12" ht="30" customHeight="1" x14ac:dyDescent="0.3">
      <c r="A18" s="23" t="s">
        <v>164</v>
      </c>
      <c r="B18" s="309"/>
      <c r="C18" s="309"/>
      <c r="D18" s="108" t="str">
        <f>'Project Data'!A27</f>
        <v>Other Electricity Consumption</v>
      </c>
      <c r="E18" s="109">
        <f>('Project Data'!B27+'Project Data'!B33)*1000</f>
        <v>0</v>
      </c>
      <c r="F18" s="103" t="s">
        <v>167</v>
      </c>
      <c r="G18" s="102" t="s">
        <v>168</v>
      </c>
      <c r="H18" s="111"/>
      <c r="I18" s="113">
        <f t="shared" si="0"/>
        <v>0</v>
      </c>
      <c r="J18" s="103" t="s">
        <v>169</v>
      </c>
      <c r="K18" s="76"/>
      <c r="L18" s="114">
        <f>IF(B$9&gt;0,E18*I18/$B$9,0)</f>
        <v>0</v>
      </c>
    </row>
    <row r="19" spans="1:12" ht="39.6" customHeight="1" x14ac:dyDescent="0.3">
      <c r="A19" s="23" t="s">
        <v>170</v>
      </c>
      <c r="B19" s="3" t="s">
        <v>171</v>
      </c>
      <c r="C19" s="3" t="s">
        <v>172</v>
      </c>
      <c r="D19" s="102" t="str">
        <f>'Project Data'!B38</f>
        <v>Deionized water</v>
      </c>
      <c r="E19" s="102">
        <f>'Project Data'!B37</f>
        <v>1100000</v>
      </c>
      <c r="F19" s="103" t="s">
        <v>59</v>
      </c>
      <c r="G19" s="112">
        <f>_xlfn.XLOOKUP(D19,'Emission Factors'!A28:A30,'Emission Factors'!B28:B30,"Not found - use EF override",0)</f>
        <v>0.5</v>
      </c>
      <c r="H19" s="104"/>
      <c r="I19" s="113">
        <f t="shared" si="0"/>
        <v>0.5</v>
      </c>
      <c r="J19" s="103" t="s">
        <v>173</v>
      </c>
      <c r="K19" s="76"/>
      <c r="L19" s="114">
        <f>IF(B$9&gt;0,E19*I19*1000/$B$9,0)</f>
        <v>5.5792249949279775E-2</v>
      </c>
    </row>
    <row r="20" spans="1:12" ht="26.4" customHeight="1" x14ac:dyDescent="0.3">
      <c r="A20" s="23" t="s">
        <v>174</v>
      </c>
      <c r="B20" s="3" t="s">
        <v>171</v>
      </c>
      <c r="C20" s="307" t="s">
        <v>175</v>
      </c>
      <c r="D20" s="102" t="str">
        <f>'Project Data'!B45</f>
        <v>Diesel</v>
      </c>
      <c r="E20" s="102">
        <f>'Project Data'!B46</f>
        <v>25000</v>
      </c>
      <c r="F20" s="103" t="s">
        <v>66</v>
      </c>
      <c r="G20" s="102">
        <f>_xlfn.XLOOKUP(D20,'Emission Factors'!$A$15:$A$22,'Emission Factors'!$E$15:$E$22,"Not found - use EF override",0)</f>
        <v>95.1</v>
      </c>
      <c r="H20" s="111"/>
      <c r="I20" s="113">
        <f t="shared" si="0"/>
        <v>95.1</v>
      </c>
      <c r="J20" s="103" t="s">
        <v>176</v>
      </c>
      <c r="K20" s="76"/>
      <c r="L20" s="114">
        <f>IF(B$9&gt;0,E20*I20/$B$9,0)</f>
        <v>2.4117468046256846E-4</v>
      </c>
    </row>
    <row r="21" spans="1:12" ht="26.4" customHeight="1" x14ac:dyDescent="0.3">
      <c r="A21" s="23" t="s">
        <v>174</v>
      </c>
      <c r="B21" s="3" t="s">
        <v>171</v>
      </c>
      <c r="C21" s="308"/>
      <c r="D21" s="102" t="str">
        <f>'Project Data'!B47</f>
        <v>Please select</v>
      </c>
      <c r="E21" s="102">
        <f>'Project Data'!B48</f>
        <v>0</v>
      </c>
      <c r="F21" s="103" t="s">
        <v>66</v>
      </c>
      <c r="G21" s="102" t="str">
        <f>_xlfn.XLOOKUP(D21,'Emission Factors'!$A$15:$A$22,'Emission Factors'!$E$15:$E$22,"Not found - use EF override",0)</f>
        <v>Not found - use EF override</v>
      </c>
      <c r="H21" s="104"/>
      <c r="I21" s="113">
        <f t="shared" si="0"/>
        <v>0</v>
      </c>
      <c r="J21" s="103" t="s">
        <v>176</v>
      </c>
      <c r="K21" s="76"/>
      <c r="L21" s="114">
        <f>IF(B$9&gt;0,E21*I21/$B$9,0)</f>
        <v>0</v>
      </c>
    </row>
    <row r="22" spans="1:12" ht="26.4" customHeight="1" x14ac:dyDescent="0.3">
      <c r="A22" s="23" t="s">
        <v>174</v>
      </c>
      <c r="B22" s="3" t="s">
        <v>171</v>
      </c>
      <c r="C22" s="309"/>
      <c r="D22" s="102" t="str">
        <f>'Project Data'!B49</f>
        <v>Please select</v>
      </c>
      <c r="E22" s="102">
        <f>'Project Data'!B50</f>
        <v>0</v>
      </c>
      <c r="F22" s="103" t="s">
        <v>66</v>
      </c>
      <c r="G22" s="102" t="str">
        <f>_xlfn.XLOOKUP(D22,'Emission Factors'!$A$15:$A$22,'Emission Factors'!$E$15:$E$22,"Not found - use EF override",0)</f>
        <v>Not found - use EF override</v>
      </c>
      <c r="H22" s="111"/>
      <c r="I22" s="113">
        <f t="shared" si="0"/>
        <v>0</v>
      </c>
      <c r="J22" s="103" t="s">
        <v>176</v>
      </c>
      <c r="K22" s="76"/>
      <c r="L22" s="114">
        <f>IF(B$9&gt;0,E22*I22/$B$9,0)</f>
        <v>0</v>
      </c>
    </row>
    <row r="23" spans="1:12" x14ac:dyDescent="0.3">
      <c r="A23" s="23" t="s">
        <v>177</v>
      </c>
      <c r="B23" s="3" t="s">
        <v>171</v>
      </c>
      <c r="C23" s="3" t="s">
        <v>178</v>
      </c>
      <c r="D23" s="102" t="str">
        <f>'Project Data'!B42</f>
        <v>Please select</v>
      </c>
      <c r="E23" s="102">
        <f>'Project Data'!B41</f>
        <v>0</v>
      </c>
      <c r="F23" s="103" t="s">
        <v>66</v>
      </c>
      <c r="G23" s="102" t="str">
        <f>_xlfn.XLOOKUP(D23,'Emission Factors'!A62:A65,'Emission Factors'!B62:B65,"Not found - use EF override",0)</f>
        <v>Not found - use EF override</v>
      </c>
      <c r="H23" s="104"/>
      <c r="I23" s="113">
        <f t="shared" si="0"/>
        <v>0</v>
      </c>
      <c r="J23" s="103" t="s">
        <v>179</v>
      </c>
      <c r="K23" s="76"/>
      <c r="L23" s="114">
        <f>IF(B$9&gt;0,E23*I23*1000/$B$9,0)</f>
        <v>0</v>
      </c>
    </row>
    <row r="24" spans="1:12" ht="26.4" customHeight="1" x14ac:dyDescent="0.3">
      <c r="A24" s="23" t="s">
        <v>180</v>
      </c>
      <c r="B24" s="3" t="s">
        <v>171</v>
      </c>
      <c r="C24" s="307" t="s">
        <v>181</v>
      </c>
      <c r="D24" s="102" t="str">
        <f>'Project Data'!B53</f>
        <v>Potassium hydroxide (KOH)</v>
      </c>
      <c r="E24" s="102">
        <f>'Project Data'!B54</f>
        <v>200000</v>
      </c>
      <c r="F24" s="103" t="s">
        <v>80</v>
      </c>
      <c r="G24" s="102">
        <f>_xlfn.XLOOKUP(D24,'Emission Factors'!$A$40:$A$56,'Emission Factors'!$B$40:$B$56,"Not found - use EF override",0)</f>
        <v>419.1</v>
      </c>
      <c r="H24" s="111"/>
      <c r="I24" s="113">
        <f t="shared" si="0"/>
        <v>419.1</v>
      </c>
      <c r="J24" s="103" t="s">
        <v>182</v>
      </c>
      <c r="K24" s="76"/>
      <c r="L24" s="114">
        <f>IF(B$9&gt;0,E24*I24/$B$9,0)</f>
        <v>8.5027388922702379E-3</v>
      </c>
    </row>
    <row r="25" spans="1:12" ht="26.4" customHeight="1" x14ac:dyDescent="0.3">
      <c r="A25" s="23" t="s">
        <v>180</v>
      </c>
      <c r="B25" s="3" t="s">
        <v>171</v>
      </c>
      <c r="C25" s="308"/>
      <c r="D25" s="102" t="str">
        <f>'Project Data'!B55</f>
        <v>Please select</v>
      </c>
      <c r="E25" s="102">
        <f>'Project Data'!B56</f>
        <v>0</v>
      </c>
      <c r="F25" s="103" t="s">
        <v>80</v>
      </c>
      <c r="G25" s="102" t="str">
        <f>_xlfn.XLOOKUP(D25,'Emission Factors'!$A$40:$A$56,'Emission Factors'!$B$40:$B$56,"Not found - use EF override",0)</f>
        <v>Not found - use EF override</v>
      </c>
      <c r="H25" s="104"/>
      <c r="I25" s="113">
        <f t="shared" si="0"/>
        <v>0</v>
      </c>
      <c r="J25" s="103" t="s">
        <v>182</v>
      </c>
      <c r="K25" s="76"/>
      <c r="L25" s="114">
        <f>IF(B$9&gt;0,E25*I25/$B$9,0)</f>
        <v>0</v>
      </c>
    </row>
    <row r="26" spans="1:12" ht="26.4" customHeight="1" x14ac:dyDescent="0.3">
      <c r="A26" s="23" t="s">
        <v>180</v>
      </c>
      <c r="B26" s="3" t="s">
        <v>171</v>
      </c>
      <c r="C26" s="308"/>
      <c r="D26" s="102" t="str">
        <f>'Project Data'!B57</f>
        <v>Please select</v>
      </c>
      <c r="E26" s="102">
        <f>'Project Data'!B58</f>
        <v>0</v>
      </c>
      <c r="F26" s="103" t="s">
        <v>80</v>
      </c>
      <c r="G26" s="102" t="str">
        <f>_xlfn.XLOOKUP(D26,'Emission Factors'!$A$40:$A$56,'Emission Factors'!$B$40:$B$56,"Not found - use EF override",0)</f>
        <v>Not found - use EF override</v>
      </c>
      <c r="H26" s="111"/>
      <c r="I26" s="113">
        <f t="shared" si="0"/>
        <v>0</v>
      </c>
      <c r="J26" s="103" t="s">
        <v>182</v>
      </c>
      <c r="K26" s="76"/>
      <c r="L26" s="114">
        <f>IF(B$9&gt;0,E26*I26/$B$9,0)</f>
        <v>0</v>
      </c>
    </row>
    <row r="27" spans="1:12" ht="26.4" customHeight="1" x14ac:dyDescent="0.3">
      <c r="A27" s="23" t="s">
        <v>180</v>
      </c>
      <c r="B27" s="3" t="s">
        <v>171</v>
      </c>
      <c r="C27" s="309"/>
      <c r="D27" s="102" t="str">
        <f>'Project Data'!B59</f>
        <v>Please select</v>
      </c>
      <c r="E27" s="102">
        <f>'Project Data'!B60</f>
        <v>0</v>
      </c>
      <c r="F27" s="103" t="s">
        <v>80</v>
      </c>
      <c r="G27" s="102" t="str">
        <f>_xlfn.XLOOKUP(D27,'Emission Factors'!$A$40:$A$56,'Emission Factors'!$B$40:$B$56,"Not found - use EF override",0)</f>
        <v>Not found - use EF override</v>
      </c>
      <c r="H27" s="104"/>
      <c r="I27" s="113">
        <f t="shared" si="0"/>
        <v>0</v>
      </c>
      <c r="J27" s="103" t="s">
        <v>182</v>
      </c>
      <c r="K27" s="76"/>
      <c r="L27" s="114">
        <f>IF(B$9&gt;0,E27*I27/$B$9,0)</f>
        <v>0</v>
      </c>
    </row>
    <row r="28" spans="1:12" ht="39.6" customHeight="1" x14ac:dyDescent="0.3">
      <c r="A28" s="115" t="s">
        <v>183</v>
      </c>
      <c r="B28" s="116" t="s">
        <v>184</v>
      </c>
      <c r="C28" s="117" t="s">
        <v>185</v>
      </c>
      <c r="D28" s="117"/>
      <c r="E28" s="118"/>
      <c r="F28" s="118"/>
      <c r="G28" s="119"/>
      <c r="H28" s="118"/>
      <c r="I28" s="118"/>
      <c r="J28" s="119"/>
      <c r="K28" s="118"/>
      <c r="L28" s="120">
        <f>SUM(L14:L27)</f>
        <v>21.651064871170625</v>
      </c>
    </row>
    <row r="29" spans="1:12" ht="52.8" customHeight="1" x14ac:dyDescent="0.3">
      <c r="A29" s="23" t="s">
        <v>186</v>
      </c>
      <c r="B29" s="3" t="s">
        <v>187</v>
      </c>
      <c r="C29" s="23" t="s">
        <v>188</v>
      </c>
      <c r="D29" s="121"/>
      <c r="E29" s="122"/>
      <c r="F29" s="103" t="s">
        <v>189</v>
      </c>
      <c r="G29" s="3" t="s">
        <v>9</v>
      </c>
      <c r="H29" s="3" t="s">
        <v>9</v>
      </c>
      <c r="I29" s="3" t="s">
        <v>9</v>
      </c>
      <c r="J29" s="3" t="s">
        <v>9</v>
      </c>
      <c r="K29" s="76"/>
      <c r="L29" s="123">
        <f>IF(B$9&gt;0,E29*1000/$B$9,0)</f>
        <v>0</v>
      </c>
    </row>
    <row r="30" spans="1:12" ht="39.6" customHeight="1" x14ac:dyDescent="0.3">
      <c r="A30" s="23" t="s">
        <v>190</v>
      </c>
      <c r="B30" s="3" t="s">
        <v>191</v>
      </c>
      <c r="C30" s="23" t="s">
        <v>192</v>
      </c>
      <c r="D30" s="121"/>
      <c r="E30" s="122"/>
      <c r="F30" s="103" t="s">
        <v>189</v>
      </c>
      <c r="G30" s="3" t="s">
        <v>9</v>
      </c>
      <c r="H30" s="3" t="s">
        <v>9</v>
      </c>
      <c r="I30" s="3" t="s">
        <v>9</v>
      </c>
      <c r="J30" s="3" t="s">
        <v>9</v>
      </c>
      <c r="K30" s="76"/>
      <c r="L30" s="123">
        <f>IF(B$9&gt;0,E30*1000/$B$9,0)</f>
        <v>0</v>
      </c>
    </row>
    <row r="31" spans="1:12" ht="30" customHeight="1" x14ac:dyDescent="0.3">
      <c r="A31" s="115" t="s">
        <v>193</v>
      </c>
      <c r="B31" s="116" t="s">
        <v>194</v>
      </c>
      <c r="C31" s="117" t="s">
        <v>195</v>
      </c>
      <c r="D31" s="117"/>
      <c r="E31" s="118"/>
      <c r="F31" s="118"/>
      <c r="G31" s="119"/>
      <c r="H31" s="118"/>
      <c r="I31" s="118"/>
      <c r="J31" s="119"/>
      <c r="K31" s="118"/>
      <c r="L31" s="120">
        <f>L28+L29-L30</f>
        <v>21.651064871170625</v>
      </c>
    </row>
    <row r="32" spans="1:12" ht="30" customHeight="1" x14ac:dyDescent="0.3">
      <c r="A32" s="23" t="s">
        <v>196</v>
      </c>
      <c r="B32" s="3" t="s">
        <v>197</v>
      </c>
      <c r="C32" s="319" t="s">
        <v>198</v>
      </c>
      <c r="D32" s="102" t="str">
        <f>'Project Data'!B63</f>
        <v>Please select</v>
      </c>
      <c r="E32" s="102">
        <f>'Project Data'!B64</f>
        <v>0</v>
      </c>
      <c r="F32" s="103" t="s">
        <v>80</v>
      </c>
      <c r="G32" s="102" t="str">
        <f>_xlfn.XLOOKUP(D32,'Emission Factors'!$A$71:$A$73,'Emission Factors'!$E$71:$E$73,"Not found - use EF override",0)</f>
        <v>Not found - use EF override</v>
      </c>
      <c r="H32" s="104"/>
      <c r="I32" s="102">
        <f>IF(H32&lt;&gt;"",H32,IF(ISNUMBER(G32),G32,0))</f>
        <v>0</v>
      </c>
      <c r="J32" s="103" t="s">
        <v>199</v>
      </c>
      <c r="K32" s="76"/>
      <c r="L32" s="123">
        <f>IF(B$9&gt;0,E32*I32*1000/$B$9,0)</f>
        <v>0</v>
      </c>
    </row>
    <row r="33" spans="1:12" ht="30" customHeight="1" x14ac:dyDescent="0.3">
      <c r="A33" s="23" t="s">
        <v>196</v>
      </c>
      <c r="B33" s="3" t="s">
        <v>197</v>
      </c>
      <c r="C33" s="308"/>
      <c r="D33" s="102" t="str">
        <f>'Project Data'!B65</f>
        <v>Please select</v>
      </c>
      <c r="E33" s="102">
        <f>'Project Data'!B66</f>
        <v>0</v>
      </c>
      <c r="F33" s="103" t="s">
        <v>80</v>
      </c>
      <c r="G33" s="102" t="str">
        <f>_xlfn.XLOOKUP(D33,'Emission Factors'!$A$71:$A$73,'Emission Factors'!$E$71:$E$73,"Not found - use EF override",0)</f>
        <v>Not found - use EF override</v>
      </c>
      <c r="H33" s="104"/>
      <c r="I33" s="102">
        <f>IF(H33&lt;&gt;"",H33,IF(ISNUMBER(G33),G33,0))</f>
        <v>0</v>
      </c>
      <c r="J33" s="103" t="s">
        <v>199</v>
      </c>
      <c r="K33" s="76"/>
      <c r="L33" s="123">
        <f>IF(B$9&gt;0,E33*I33*1000/$B$9,0)</f>
        <v>0</v>
      </c>
    </row>
    <row r="34" spans="1:12" ht="30" customHeight="1" x14ac:dyDescent="0.3">
      <c r="A34" s="23" t="s">
        <v>196</v>
      </c>
      <c r="B34" s="3" t="s">
        <v>197</v>
      </c>
      <c r="C34" s="308"/>
      <c r="D34" s="102" t="str">
        <f>'Project Data'!B67</f>
        <v>Please select</v>
      </c>
      <c r="E34" s="102">
        <f>'Project Data'!B68</f>
        <v>0</v>
      </c>
      <c r="F34" s="103" t="s">
        <v>80</v>
      </c>
      <c r="G34" s="102" t="str">
        <f>_xlfn.XLOOKUP(D34,'Emission Factors'!$A$71:$A$73,'Emission Factors'!$E$71:$E$73,"Not found - use EF override",0)</f>
        <v>Not found - use EF override</v>
      </c>
      <c r="H34" s="104"/>
      <c r="I34" s="102">
        <f>IF(H34&lt;&gt;"",H34,IF(ISNUMBER(G34),G34,0))</f>
        <v>0</v>
      </c>
      <c r="J34" s="103" t="s">
        <v>199</v>
      </c>
      <c r="K34" s="76"/>
      <c r="L34" s="123">
        <f>IF(B$9&gt;0,E34*I34*1000/$B$9,0)</f>
        <v>0</v>
      </c>
    </row>
    <row r="35" spans="1:12" ht="30" customHeight="1" x14ac:dyDescent="0.3">
      <c r="A35" s="23" t="s">
        <v>196</v>
      </c>
      <c r="B35" s="3" t="s">
        <v>197</v>
      </c>
      <c r="C35" s="308"/>
      <c r="D35" s="102" t="str">
        <f>'Project Data'!B69</f>
        <v>Please select</v>
      </c>
      <c r="E35" s="102">
        <f>'Project Data'!B70</f>
        <v>0</v>
      </c>
      <c r="F35" s="103" t="s">
        <v>80</v>
      </c>
      <c r="G35" s="102" t="str">
        <f>_xlfn.XLOOKUP(D35,'Emission Factors'!$A$71:$A$73,'Emission Factors'!$E$71:$E$73,"Not found - use EF override",0)</f>
        <v>Not found - use EF override</v>
      </c>
      <c r="H35" s="104"/>
      <c r="I35" s="102">
        <f>IF(H35&lt;&gt;"",H35,IF(ISNUMBER(G35),G35,0))</f>
        <v>0</v>
      </c>
      <c r="J35" s="103" t="s">
        <v>199</v>
      </c>
      <c r="K35" s="76"/>
      <c r="L35" s="123">
        <f>IF(B$9&gt;0,E35*I35*1000/$B$9,0)</f>
        <v>0</v>
      </c>
    </row>
    <row r="36" spans="1:12" ht="26.4" customHeight="1" x14ac:dyDescent="0.3">
      <c r="A36" s="23" t="s">
        <v>200</v>
      </c>
      <c r="B36" s="3" t="s">
        <v>201</v>
      </c>
      <c r="C36" s="23" t="s">
        <v>202</v>
      </c>
      <c r="D36" s="121"/>
      <c r="E36" s="124"/>
      <c r="F36" s="103" t="s">
        <v>203</v>
      </c>
      <c r="G36" s="3" t="s">
        <v>9</v>
      </c>
      <c r="H36" s="3" t="s">
        <v>9</v>
      </c>
      <c r="I36" s="3" t="s">
        <v>9</v>
      </c>
      <c r="J36" s="3" t="s">
        <v>9</v>
      </c>
      <c r="K36" s="76"/>
      <c r="L36" s="123">
        <f>IF(ISNUMBER(E36),E36,0)</f>
        <v>0</v>
      </c>
    </row>
    <row r="37" spans="1:12" ht="26.4" customHeight="1" x14ac:dyDescent="0.3">
      <c r="A37" s="23" t="s">
        <v>204</v>
      </c>
      <c r="B37" s="3" t="s">
        <v>205</v>
      </c>
      <c r="C37" s="23" t="s">
        <v>206</v>
      </c>
      <c r="D37" s="102" t="str">
        <f>'Project Data'!B73</f>
        <v>Other</v>
      </c>
      <c r="E37" s="102">
        <f>B8*'Emission Factors'!$B$91*'Project Data'!$B$76*(44/28)</f>
        <v>68494.171428571441</v>
      </c>
      <c r="F37" s="103" t="s">
        <v>207</v>
      </c>
      <c r="G37" s="125">
        <f>'Emission Factors'!$E$73</f>
        <v>298</v>
      </c>
      <c r="H37" s="3"/>
      <c r="I37" s="3">
        <f>IF(H37&lt;&gt;"",H37,IF(ISNUMBER(G37),G37,0))</f>
        <v>298</v>
      </c>
      <c r="J37" s="3" t="s">
        <v>208</v>
      </c>
      <c r="K37" s="76"/>
      <c r="L37" s="123">
        <f>IF(B$9&gt;0,E37*I37*1000/$B$9,0)</f>
        <v>2.0705278033794166</v>
      </c>
    </row>
    <row r="38" spans="1:12" x14ac:dyDescent="0.3">
      <c r="A38" s="23" t="s">
        <v>209</v>
      </c>
      <c r="B38" s="3" t="s">
        <v>210</v>
      </c>
      <c r="C38" s="23" t="s">
        <v>211</v>
      </c>
      <c r="D38" s="3" t="s">
        <v>9</v>
      </c>
      <c r="E38" s="3" t="s">
        <v>9</v>
      </c>
      <c r="F38" s="3" t="s">
        <v>9</v>
      </c>
      <c r="G38" s="3" t="s">
        <v>9</v>
      </c>
      <c r="H38" s="3" t="s">
        <v>9</v>
      </c>
      <c r="I38" s="3" t="s">
        <v>9</v>
      </c>
      <c r="J38" s="3" t="s">
        <v>9</v>
      </c>
      <c r="K38" s="3" t="s">
        <v>9</v>
      </c>
      <c r="L38" s="123">
        <f>0</f>
        <v>0</v>
      </c>
    </row>
    <row r="39" spans="1:12" ht="26.4" x14ac:dyDescent="0.3">
      <c r="A39" s="126" t="s">
        <v>579</v>
      </c>
      <c r="B39" s="127"/>
      <c r="C39" s="128" t="s">
        <v>580</v>
      </c>
      <c r="D39" s="128"/>
      <c r="E39" s="129"/>
      <c r="F39" s="129"/>
      <c r="G39" s="130"/>
      <c r="H39" s="129"/>
      <c r="I39" s="129"/>
      <c r="J39" s="130"/>
      <c r="K39" s="131" t="s">
        <v>102</v>
      </c>
      <c r="L39" s="132">
        <v>1</v>
      </c>
    </row>
    <row r="40" spans="1:12" ht="19.95" customHeight="1" x14ac:dyDescent="0.3">
      <c r="A40" s="126" t="s">
        <v>212</v>
      </c>
      <c r="B40" s="127" t="s">
        <v>213</v>
      </c>
      <c r="C40" s="128" t="s">
        <v>214</v>
      </c>
      <c r="D40" s="128"/>
      <c r="E40" s="129"/>
      <c r="F40" s="129"/>
      <c r="G40" s="130"/>
      <c r="H40" s="129"/>
      <c r="I40" s="129"/>
      <c r="J40" s="130"/>
      <c r="K40" s="131" t="s">
        <v>215</v>
      </c>
      <c r="L40" s="133">
        <f>L39*(L31+L32+L33+L34+L35+L36+L37-L38)</f>
        <v>23.721592674550042</v>
      </c>
    </row>
    <row r="41" spans="1:12" ht="31.2" customHeight="1" x14ac:dyDescent="0.3">
      <c r="A41" s="126" t="s">
        <v>216</v>
      </c>
      <c r="B41" s="127" t="s">
        <v>9</v>
      </c>
      <c r="C41" s="128" t="s">
        <v>217</v>
      </c>
      <c r="D41" s="128"/>
      <c r="E41" s="129"/>
      <c r="F41" s="129"/>
      <c r="G41" s="130"/>
      <c r="H41" s="129"/>
      <c r="I41" s="129"/>
      <c r="J41" s="134"/>
      <c r="K41" s="131" t="s">
        <v>218</v>
      </c>
      <c r="L41" s="133">
        <f>L40*'Emission Factors'!$B$87/1000</f>
        <v>0.44122162374663082</v>
      </c>
    </row>
    <row r="42" spans="1:12" ht="30" customHeight="1" x14ac:dyDescent="0.3">
      <c r="A42" s="23" t="s">
        <v>219</v>
      </c>
      <c r="B42" s="3" t="s">
        <v>220</v>
      </c>
      <c r="C42" s="23" t="s">
        <v>221</v>
      </c>
      <c r="D42" s="3" t="s">
        <v>9</v>
      </c>
      <c r="E42" s="3" t="s">
        <v>9</v>
      </c>
      <c r="F42" s="3" t="s">
        <v>9</v>
      </c>
      <c r="G42" s="3" t="s">
        <v>9</v>
      </c>
      <c r="H42" s="3" t="s">
        <v>9</v>
      </c>
      <c r="I42" s="3" t="s">
        <v>9</v>
      </c>
      <c r="J42" s="3" t="s">
        <v>9</v>
      </c>
      <c r="K42" s="135" t="s">
        <v>222</v>
      </c>
      <c r="L42" s="136">
        <v>94</v>
      </c>
    </row>
    <row r="43" spans="1:12" ht="15.6" customHeight="1" x14ac:dyDescent="0.3">
      <c r="A43" s="137" t="s">
        <v>223</v>
      </c>
      <c r="B43" s="138" t="s">
        <v>224</v>
      </c>
      <c r="C43" s="139" t="s">
        <v>225</v>
      </c>
      <c r="D43" s="139"/>
      <c r="E43" s="140"/>
      <c r="F43" s="140"/>
      <c r="G43" s="141"/>
      <c r="H43" s="140"/>
      <c r="I43" s="140"/>
      <c r="J43" s="141"/>
      <c r="K43" s="140"/>
      <c r="L43" s="142">
        <f>IF(L42&gt;0,(L42-L40)/L42,0)</f>
        <v>0.74764263112180807</v>
      </c>
    </row>
    <row r="44" spans="1:12" ht="45" customHeight="1" x14ac:dyDescent="0.3">
      <c r="A44" s="143" t="s">
        <v>226</v>
      </c>
      <c r="B44" s="127" t="s">
        <v>213</v>
      </c>
      <c r="C44" s="144" t="s">
        <v>227</v>
      </c>
      <c r="D44" s="144"/>
      <c r="E44" s="145"/>
      <c r="F44" s="145"/>
      <c r="G44" s="145"/>
      <c r="H44" s="145"/>
      <c r="I44" s="145"/>
      <c r="J44" s="145"/>
      <c r="K44" s="145"/>
      <c r="L44" s="146" t="str">
        <f>IF(L43&gt;=0.7,"PASS","FAIL")</f>
        <v>PASS</v>
      </c>
    </row>
    <row r="46" spans="1:12" x14ac:dyDescent="0.3">
      <c r="A46" s="306" t="s">
        <v>228</v>
      </c>
      <c r="B46" s="302"/>
      <c r="C46" s="302"/>
      <c r="D46" s="302"/>
      <c r="E46" s="302"/>
      <c r="F46" s="302"/>
      <c r="G46" s="302"/>
      <c r="H46" s="302"/>
      <c r="I46" s="302"/>
      <c r="J46" s="302"/>
      <c r="K46" s="302"/>
      <c r="L46" s="302"/>
    </row>
    <row r="47" spans="1:12" x14ac:dyDescent="0.3">
      <c r="A47" s="301" t="s">
        <v>229</v>
      </c>
      <c r="B47" s="302"/>
      <c r="C47" s="302"/>
      <c r="D47" s="302"/>
      <c r="E47" s="302"/>
      <c r="F47" s="302"/>
      <c r="G47" s="302"/>
      <c r="H47" s="302"/>
      <c r="I47" s="302"/>
      <c r="J47" s="302"/>
      <c r="K47" s="302"/>
      <c r="L47" s="302"/>
    </row>
    <row r="48" spans="1:12" x14ac:dyDescent="0.3">
      <c r="A48" s="301" t="s">
        <v>230</v>
      </c>
      <c r="B48" s="302"/>
      <c r="C48" s="302"/>
      <c r="D48" s="302"/>
      <c r="E48" s="302"/>
      <c r="F48" s="302"/>
      <c r="G48" s="302"/>
      <c r="H48" s="302"/>
      <c r="I48" s="302"/>
      <c r="J48" s="302"/>
      <c r="K48" s="302"/>
      <c r="L48" s="302"/>
    </row>
    <row r="49" spans="1:12" x14ac:dyDescent="0.3">
      <c r="A49" s="301" t="s">
        <v>231</v>
      </c>
      <c r="B49" s="302"/>
      <c r="C49" s="302"/>
      <c r="D49" s="302"/>
      <c r="E49" s="302"/>
      <c r="F49" s="302"/>
      <c r="G49" s="302"/>
      <c r="H49" s="302"/>
      <c r="I49" s="302"/>
      <c r="J49" s="302"/>
      <c r="K49" s="302"/>
      <c r="L49" s="302"/>
    </row>
    <row r="50" spans="1:12" x14ac:dyDescent="0.3">
      <c r="A50" s="301" t="s">
        <v>232</v>
      </c>
      <c r="B50" s="302"/>
      <c r="C50" s="302"/>
      <c r="D50" s="302"/>
      <c r="E50" s="302"/>
      <c r="F50" s="302"/>
      <c r="G50" s="302"/>
      <c r="H50" s="302"/>
      <c r="I50" s="302"/>
      <c r="J50" s="302"/>
      <c r="K50" s="302"/>
      <c r="L50" s="302"/>
    </row>
    <row r="51" spans="1:12" x14ac:dyDescent="0.3">
      <c r="A51" s="301" t="s">
        <v>233</v>
      </c>
      <c r="B51" s="302"/>
      <c r="C51" s="302"/>
      <c r="D51" s="302"/>
      <c r="E51" s="302"/>
      <c r="F51" s="302"/>
      <c r="G51" s="302"/>
      <c r="H51" s="302"/>
      <c r="I51" s="302"/>
      <c r="J51" s="302"/>
      <c r="K51" s="302"/>
      <c r="L51" s="302"/>
    </row>
  </sheetData>
  <sheetProtection sheet="1" formatCells="0" formatColumns="0" formatRows="0" sort="0" autoFilter="0" pivotTables="0"/>
  <mergeCells count="31">
    <mergeCell ref="B4:L4"/>
    <mergeCell ref="C8:L8"/>
    <mergeCell ref="B12:B13"/>
    <mergeCell ref="F12:F13"/>
    <mergeCell ref="B3:L3"/>
    <mergeCell ref="L12:L13"/>
    <mergeCell ref="A47:L47"/>
    <mergeCell ref="A51:L51"/>
    <mergeCell ref="A12:A13"/>
    <mergeCell ref="D13:E13"/>
    <mergeCell ref="C12:C13"/>
    <mergeCell ref="I12:I13"/>
    <mergeCell ref="A48:L48"/>
    <mergeCell ref="C32:C35"/>
    <mergeCell ref="A49:L49"/>
    <mergeCell ref="A1:L1"/>
    <mergeCell ref="G12:G13"/>
    <mergeCell ref="A50:L50"/>
    <mergeCell ref="B5:L5"/>
    <mergeCell ref="A46:L46"/>
    <mergeCell ref="C24:C27"/>
    <mergeCell ref="B2:L2"/>
    <mergeCell ref="K12:K13"/>
    <mergeCell ref="B16:B18"/>
    <mergeCell ref="H12:H13"/>
    <mergeCell ref="C20:C22"/>
    <mergeCell ref="J12:J13"/>
    <mergeCell ref="B6:L6"/>
    <mergeCell ref="C9:L9"/>
    <mergeCell ref="A11:L11"/>
    <mergeCell ref="C16:C18"/>
  </mergeCells>
  <pageMargins left="0.75" right="0.75" top="1" bottom="1" header="0.5" footer="0.5"/>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99"/>
  </sheetPr>
  <dimension ref="A1:L32"/>
  <sheetViews>
    <sheetView zoomScale="90" zoomScaleNormal="90" workbookViewId="0">
      <pane ySplit="12" topLeftCell="A13" activePane="bottomLeft" state="frozen"/>
      <selection pane="bottomLeft" activeCell="A13" sqref="A13"/>
    </sheetView>
  </sheetViews>
  <sheetFormatPr defaultRowHeight="14.4" x14ac:dyDescent="0.3"/>
  <cols>
    <col min="1" max="1" width="40.77734375" style="2" customWidth="1"/>
    <col min="2" max="2" width="15.77734375" style="2" customWidth="1"/>
    <col min="3" max="4" width="30.77734375" style="2" customWidth="1"/>
    <col min="5" max="6" width="15.77734375" style="2" customWidth="1"/>
    <col min="7" max="7" width="30.77734375" style="2" customWidth="1"/>
    <col min="8" max="10" width="15.77734375" style="2" customWidth="1"/>
    <col min="11" max="11" width="30.77734375" style="2" customWidth="1"/>
    <col min="12" max="12" width="15.77734375" style="2" customWidth="1"/>
    <col min="13" max="13" width="8.88671875" style="2" customWidth="1"/>
    <col min="14" max="16384" width="8.88671875" style="2"/>
  </cols>
  <sheetData>
    <row r="1" spans="1:12" x14ac:dyDescent="0.3">
      <c r="A1" s="322" t="s">
        <v>234</v>
      </c>
      <c r="B1" s="304"/>
      <c r="C1" s="304"/>
      <c r="D1" s="304"/>
      <c r="E1" s="304"/>
      <c r="F1" s="304"/>
      <c r="G1" s="304"/>
      <c r="H1" s="304"/>
      <c r="I1" s="304"/>
      <c r="J1" s="304"/>
      <c r="K1" s="305"/>
    </row>
    <row r="2" spans="1:12" ht="14.4" customHeight="1" x14ac:dyDescent="0.3">
      <c r="A2" s="92" t="s">
        <v>132</v>
      </c>
      <c r="B2" s="313" t="s">
        <v>235</v>
      </c>
      <c r="C2" s="314"/>
      <c r="D2" s="314"/>
      <c r="E2" s="314"/>
      <c r="F2" s="314"/>
      <c r="G2" s="314"/>
      <c r="H2" s="314"/>
      <c r="I2" s="314"/>
      <c r="J2" s="314"/>
      <c r="K2" s="314"/>
      <c r="L2" s="315"/>
    </row>
    <row r="3" spans="1:12" ht="14.4" customHeight="1" x14ac:dyDescent="0.3">
      <c r="A3" s="92" t="s">
        <v>134</v>
      </c>
      <c r="B3" s="313" t="s">
        <v>236</v>
      </c>
      <c r="C3" s="314"/>
      <c r="D3" s="314"/>
      <c r="E3" s="314"/>
      <c r="F3" s="314"/>
      <c r="G3" s="314"/>
      <c r="H3" s="314"/>
      <c r="I3" s="314"/>
      <c r="J3" s="314"/>
      <c r="K3" s="314"/>
      <c r="L3" s="315"/>
    </row>
    <row r="4" spans="1:12" ht="14.4" customHeight="1" x14ac:dyDescent="0.3">
      <c r="A4" s="92" t="s">
        <v>136</v>
      </c>
      <c r="B4" s="323" t="s">
        <v>237</v>
      </c>
      <c r="C4" s="324"/>
      <c r="D4" s="324"/>
      <c r="E4" s="324"/>
      <c r="F4" s="324"/>
      <c r="G4" s="324"/>
      <c r="H4" s="324"/>
      <c r="I4" s="324"/>
      <c r="J4" s="324"/>
      <c r="K4" s="324"/>
      <c r="L4" s="325"/>
    </row>
    <row r="5" spans="1:12" ht="14.4" customHeight="1" x14ac:dyDescent="0.3">
      <c r="A5" s="93" t="s">
        <v>138</v>
      </c>
      <c r="B5" s="310" t="s">
        <v>590</v>
      </c>
      <c r="C5" s="295"/>
      <c r="D5" s="295"/>
      <c r="E5" s="295"/>
      <c r="F5" s="295"/>
      <c r="G5" s="295"/>
      <c r="H5" s="295"/>
      <c r="I5" s="295"/>
      <c r="J5" s="295"/>
      <c r="K5" s="295"/>
      <c r="L5" s="296"/>
    </row>
    <row r="6" spans="1:12" ht="14.4" customHeight="1" x14ac:dyDescent="0.3">
      <c r="A6" s="94" t="s">
        <v>140</v>
      </c>
      <c r="B6" s="310" t="s">
        <v>238</v>
      </c>
      <c r="C6" s="295"/>
      <c r="D6" s="295"/>
      <c r="E6" s="295"/>
      <c r="F6" s="295"/>
      <c r="G6" s="295"/>
      <c r="H6" s="295"/>
      <c r="I6" s="295"/>
      <c r="J6" s="295"/>
      <c r="K6" s="295"/>
      <c r="L6" s="296"/>
    </row>
    <row r="8" spans="1:12" ht="15.6" customHeight="1" x14ac:dyDescent="0.3">
      <c r="A8" s="98" t="s">
        <v>239</v>
      </c>
      <c r="B8" s="99">
        <f>'Project Data'!B12*1000</f>
        <v>530000000</v>
      </c>
      <c r="C8" s="316" t="s">
        <v>141</v>
      </c>
      <c r="D8" s="314"/>
      <c r="E8" s="314"/>
      <c r="F8" s="314"/>
      <c r="G8" s="314"/>
      <c r="H8" s="314"/>
      <c r="I8" s="314"/>
      <c r="J8" s="314"/>
      <c r="K8" s="314"/>
      <c r="L8" s="315"/>
    </row>
    <row r="10" spans="1:12" x14ac:dyDescent="0.3">
      <c r="A10" s="317" t="s">
        <v>143</v>
      </c>
      <c r="B10" s="314"/>
      <c r="C10" s="314"/>
      <c r="D10" s="314"/>
      <c r="E10" s="314"/>
      <c r="F10" s="314"/>
      <c r="G10" s="314"/>
      <c r="H10" s="314"/>
      <c r="I10" s="314"/>
      <c r="J10" s="314"/>
      <c r="K10" s="314"/>
      <c r="L10" s="315"/>
    </row>
    <row r="11" spans="1:12" x14ac:dyDescent="0.3">
      <c r="A11" s="311" t="s">
        <v>144</v>
      </c>
      <c r="B11" s="311" t="s">
        <v>240</v>
      </c>
      <c r="C11" s="311" t="s">
        <v>146</v>
      </c>
      <c r="D11" s="4" t="s">
        <v>147</v>
      </c>
      <c r="E11" s="4" t="s">
        <v>148</v>
      </c>
      <c r="F11" s="311" t="s">
        <v>149</v>
      </c>
      <c r="G11" s="299" t="s">
        <v>150</v>
      </c>
      <c r="H11" s="311" t="s">
        <v>151</v>
      </c>
      <c r="I11" s="311" t="s">
        <v>152</v>
      </c>
      <c r="J11" s="299" t="s">
        <v>153</v>
      </c>
      <c r="K11" s="311" t="s">
        <v>5</v>
      </c>
      <c r="L11" s="311" t="s">
        <v>241</v>
      </c>
    </row>
    <row r="12" spans="1:12" x14ac:dyDescent="0.3">
      <c r="A12" s="300"/>
      <c r="B12" s="300"/>
      <c r="C12" s="300"/>
      <c r="D12" s="311" t="s">
        <v>155</v>
      </c>
      <c r="E12" s="315"/>
      <c r="F12" s="300"/>
      <c r="G12" s="300"/>
      <c r="H12" s="300"/>
      <c r="I12" s="300"/>
      <c r="J12" s="300"/>
      <c r="K12" s="300"/>
      <c r="L12" s="300"/>
    </row>
    <row r="13" spans="1:12" ht="15.6" customHeight="1" x14ac:dyDescent="0.3">
      <c r="A13" s="23" t="s">
        <v>156</v>
      </c>
      <c r="B13" s="100" t="s">
        <v>157</v>
      </c>
      <c r="C13" s="3" t="s">
        <v>158</v>
      </c>
      <c r="D13" s="147" t="s">
        <v>242</v>
      </c>
      <c r="E13" s="109">
        <f>'Project Data'!B17*B8</f>
        <v>99640000</v>
      </c>
      <c r="F13" s="103" t="s">
        <v>159</v>
      </c>
      <c r="G13" s="148" t="s">
        <v>168</v>
      </c>
      <c r="H13" s="104"/>
      <c r="I13" s="113">
        <f>H13</f>
        <v>0</v>
      </c>
      <c r="J13" s="103" t="s">
        <v>182</v>
      </c>
      <c r="K13" s="76"/>
      <c r="L13" s="106">
        <f>IF(B$8&gt;0,E13*I13/(1000*B$8),0)</f>
        <v>0</v>
      </c>
    </row>
    <row r="14" spans="1:12" ht="15.6" customHeight="1" x14ac:dyDescent="0.3">
      <c r="A14" s="23" t="s">
        <v>161</v>
      </c>
      <c r="B14" s="100" t="s">
        <v>157</v>
      </c>
      <c r="C14" s="3" t="s">
        <v>158</v>
      </c>
      <c r="D14" s="147" t="s">
        <v>242</v>
      </c>
      <c r="E14" s="109">
        <f>'Project Data'!B21*B8</f>
        <v>437316250</v>
      </c>
      <c r="F14" s="103" t="s">
        <v>573</v>
      </c>
      <c r="G14" s="148" t="s">
        <v>168</v>
      </c>
      <c r="H14" s="104"/>
      <c r="I14" s="113">
        <f>H14</f>
        <v>0</v>
      </c>
      <c r="J14" s="103" t="s">
        <v>182</v>
      </c>
      <c r="K14" s="76"/>
      <c r="L14" s="106">
        <f>IF(B$8&gt;0,E14*I14/(1000*B$8),0)</f>
        <v>0</v>
      </c>
    </row>
    <row r="15" spans="1:12" x14ac:dyDescent="0.3">
      <c r="A15" s="107" t="s">
        <v>243</v>
      </c>
      <c r="B15" s="312" t="s">
        <v>165</v>
      </c>
      <c r="C15" s="318" t="s">
        <v>244</v>
      </c>
      <c r="D15" s="108" t="str">
        <f>'Project Data'!A31</f>
        <v>Grid Electricity Consumption</v>
      </c>
      <c r="E15" s="109">
        <f>'Project Data'!B31</f>
        <v>0</v>
      </c>
      <c r="F15" s="110" t="s">
        <v>167</v>
      </c>
      <c r="G15" s="148" t="s">
        <v>168</v>
      </c>
      <c r="H15" s="111"/>
      <c r="I15" s="105">
        <f t="shared" ref="I15:I25" si="0">IF(H15&lt;&gt;"",H15,IF(ISNUMBER(G15),G15,0))</f>
        <v>0</v>
      </c>
      <c r="J15" s="110" t="s">
        <v>169</v>
      </c>
      <c r="K15" s="76"/>
      <c r="L15" s="106">
        <f>IF(B$8&gt;0,E15*I15/$B$8,0)</f>
        <v>0</v>
      </c>
    </row>
    <row r="16" spans="1:12" x14ac:dyDescent="0.3">
      <c r="A16" s="107" t="s">
        <v>243</v>
      </c>
      <c r="B16" s="308"/>
      <c r="C16" s="308"/>
      <c r="D16" s="108" t="str">
        <f>'Project Data'!A32</f>
        <v>Renewable Electricity Consumption</v>
      </c>
      <c r="E16" s="109">
        <f>'Project Data'!B32</f>
        <v>600000</v>
      </c>
      <c r="F16" s="103" t="s">
        <v>167</v>
      </c>
      <c r="G16" s="149">
        <f>0</f>
        <v>0</v>
      </c>
      <c r="H16" s="104"/>
      <c r="I16" s="113">
        <f t="shared" si="0"/>
        <v>0</v>
      </c>
      <c r="J16" s="103" t="s">
        <v>169</v>
      </c>
      <c r="K16" s="76"/>
      <c r="L16" s="106">
        <f>IF(B$8&gt;0,E16*I16/$B$8,0)</f>
        <v>0</v>
      </c>
    </row>
    <row r="17" spans="1:12" x14ac:dyDescent="0.3">
      <c r="A17" s="107" t="s">
        <v>243</v>
      </c>
      <c r="B17" s="309"/>
      <c r="C17" s="309"/>
      <c r="D17" s="108" t="str">
        <f>'Project Data'!A33</f>
        <v>Other Electricity Consumption</v>
      </c>
      <c r="E17" s="109">
        <f>'Project Data'!B33</f>
        <v>0</v>
      </c>
      <c r="F17" s="103" t="s">
        <v>167</v>
      </c>
      <c r="G17" s="150" t="s">
        <v>168</v>
      </c>
      <c r="H17" s="111"/>
      <c r="I17" s="113">
        <f t="shared" si="0"/>
        <v>0</v>
      </c>
      <c r="J17" s="103" t="s">
        <v>169</v>
      </c>
      <c r="K17" s="76"/>
      <c r="L17" s="106">
        <f>IF(B$8&gt;0,E17*I17/$B$8,0)</f>
        <v>0</v>
      </c>
    </row>
    <row r="18" spans="1:12" x14ac:dyDescent="0.3">
      <c r="A18" s="107" t="s">
        <v>245</v>
      </c>
      <c r="B18" s="151" t="s">
        <v>246</v>
      </c>
      <c r="C18" s="152" t="s">
        <v>178</v>
      </c>
      <c r="D18" s="108" t="str">
        <f>'Project Data'!B42</f>
        <v>Please select</v>
      </c>
      <c r="E18" s="109">
        <f>'Project Data'!B41</f>
        <v>0</v>
      </c>
      <c r="F18" s="103" t="s">
        <v>66</v>
      </c>
      <c r="G18" s="108" t="str">
        <f>_xlfn.XLOOKUP(D18,'Emission Factors'!$A$62:$A$65,'Emission Factors'!$B$62:$B$65,"Not found - use EF override",0)</f>
        <v>Not found - use EF override</v>
      </c>
      <c r="H18" s="111"/>
      <c r="I18" s="105">
        <f t="shared" si="0"/>
        <v>0</v>
      </c>
      <c r="J18" s="103" t="s">
        <v>215</v>
      </c>
      <c r="K18" s="76"/>
      <c r="L18" s="106">
        <f>IF(B$8&gt;0,E18*I18/B$8,0)</f>
        <v>0</v>
      </c>
    </row>
    <row r="19" spans="1:12" ht="15" customHeight="1" x14ac:dyDescent="0.3">
      <c r="A19" s="23" t="s">
        <v>247</v>
      </c>
      <c r="B19" s="320" t="s">
        <v>248</v>
      </c>
      <c r="C19" s="307" t="s">
        <v>175</v>
      </c>
      <c r="D19" s="109" t="str">
        <f>'Project Data'!B45</f>
        <v>Diesel</v>
      </c>
      <c r="E19" s="109">
        <f>'Project Data'!B46</f>
        <v>25000</v>
      </c>
      <c r="F19" s="103" t="s">
        <v>66</v>
      </c>
      <c r="G19" s="109">
        <f>_xlfn.XLOOKUP(D19,'Emission Factors'!$A$15:$A$22,'Emission Factors'!$B$15:$B$22,"Not found - use EF override",0)</f>
        <v>74.099999999999994</v>
      </c>
      <c r="H19" s="111"/>
      <c r="I19" s="105">
        <f t="shared" si="0"/>
        <v>74.099999999999994</v>
      </c>
      <c r="J19" s="103" t="s">
        <v>572</v>
      </c>
      <c r="K19" s="76"/>
      <c r="L19" s="106">
        <f>IF(B$8&gt;0,E19*I19/(1000*B$8),0)</f>
        <v>3.495283018867924E-6</v>
      </c>
    </row>
    <row r="20" spans="1:12" ht="15" customHeight="1" x14ac:dyDescent="0.3">
      <c r="A20" s="23" t="s">
        <v>247</v>
      </c>
      <c r="B20" s="321"/>
      <c r="C20" s="308"/>
      <c r="D20" s="109" t="str">
        <f>'Project Data'!B47</f>
        <v>Please select</v>
      </c>
      <c r="E20" s="109">
        <f>'Project Data'!B48</f>
        <v>0</v>
      </c>
      <c r="F20" s="103" t="s">
        <v>66</v>
      </c>
      <c r="G20" s="109" t="str">
        <f>_xlfn.XLOOKUP(D20,'Emission Factors'!$A$15:$A$22,'Emission Factors'!$B$15:$B$22,"Not found - use EF override",0)</f>
        <v>Not found - use EF override</v>
      </c>
      <c r="H20" s="111"/>
      <c r="I20" s="105">
        <f t="shared" si="0"/>
        <v>0</v>
      </c>
      <c r="J20" s="103" t="s">
        <v>572</v>
      </c>
      <c r="K20" s="76"/>
      <c r="L20" s="106">
        <f>IF(B$8&gt;0,E20*I20/(1000*B$8),0)</f>
        <v>0</v>
      </c>
    </row>
    <row r="21" spans="1:12" ht="15" customHeight="1" x14ac:dyDescent="0.3">
      <c r="A21" s="23" t="s">
        <v>247</v>
      </c>
      <c r="B21" s="321"/>
      <c r="C21" s="309"/>
      <c r="D21" s="109" t="str">
        <f>'Project Data'!B49</f>
        <v>Please select</v>
      </c>
      <c r="E21" s="109">
        <f>'Project Data'!B50</f>
        <v>0</v>
      </c>
      <c r="F21" s="103" t="s">
        <v>66</v>
      </c>
      <c r="G21" s="109" t="str">
        <f>_xlfn.XLOOKUP(D21,'Emission Factors'!$A$15:$A$22,'Emission Factors'!$B$15:$B$22,"Not found - use EF override",0)</f>
        <v>Not found - use EF override</v>
      </c>
      <c r="H21" s="111"/>
      <c r="I21" s="105">
        <f t="shared" si="0"/>
        <v>0</v>
      </c>
      <c r="J21" s="103" t="s">
        <v>572</v>
      </c>
      <c r="K21" s="76"/>
      <c r="L21" s="106">
        <f>IF(B$8&gt;0,E21*I21/(1000*B$8),0)</f>
        <v>0</v>
      </c>
    </row>
    <row r="22" spans="1:12" ht="15" customHeight="1" x14ac:dyDescent="0.3">
      <c r="A22" s="153" t="s">
        <v>249</v>
      </c>
      <c r="B22" s="326" t="s">
        <v>250</v>
      </c>
      <c r="C22" s="307" t="s">
        <v>251</v>
      </c>
      <c r="D22" s="109" t="str">
        <f>'Project Data'!B63</f>
        <v>Please select</v>
      </c>
      <c r="E22" s="109">
        <f>'Project Data'!B64</f>
        <v>0</v>
      </c>
      <c r="F22" s="103" t="s">
        <v>80</v>
      </c>
      <c r="G22" s="109" t="str">
        <f>_xlfn.XLOOKUP(D22,'Emission Factors'!$A$71:$A$73,'Emission Factors'!$B$71:$B$73,"Not found - use EF override",0)</f>
        <v>Not found - use EF override</v>
      </c>
      <c r="H22" s="111"/>
      <c r="I22" s="105">
        <f t="shared" si="0"/>
        <v>0</v>
      </c>
      <c r="J22" s="103" t="s">
        <v>199</v>
      </c>
      <c r="K22" s="76"/>
      <c r="L22" s="106">
        <f>IF(D22='Emission Factors'!$A$71,IF(B$8&gt;0,E22*I22/$B$8,0),0)</f>
        <v>0</v>
      </c>
    </row>
    <row r="23" spans="1:12" ht="15" customHeight="1" x14ac:dyDescent="0.3">
      <c r="A23" s="153" t="s">
        <v>249</v>
      </c>
      <c r="B23" s="321"/>
      <c r="C23" s="308"/>
      <c r="D23" s="109" t="str">
        <f>'Project Data'!B65</f>
        <v>Please select</v>
      </c>
      <c r="E23" s="109">
        <f>'Project Data'!B66</f>
        <v>0</v>
      </c>
      <c r="F23" s="103" t="s">
        <v>80</v>
      </c>
      <c r="G23" s="109" t="str">
        <f>_xlfn.XLOOKUP(D23,'Emission Factors'!$A$71:$A$73,'Emission Factors'!$B$71:$B$73,"Not found - use EF override",0)</f>
        <v>Not found - use EF override</v>
      </c>
      <c r="H23" s="111"/>
      <c r="I23" s="105">
        <f t="shared" si="0"/>
        <v>0</v>
      </c>
      <c r="J23" s="103" t="s">
        <v>199</v>
      </c>
      <c r="K23" s="76"/>
      <c r="L23" s="106">
        <f>IF(D23='Emission Factors'!$A$71,IF(B$8&gt;0,E23*I23/$B$8,0),0)</f>
        <v>0</v>
      </c>
    </row>
    <row r="24" spans="1:12" ht="15" customHeight="1" x14ac:dyDescent="0.3">
      <c r="A24" s="153" t="s">
        <v>249</v>
      </c>
      <c r="B24" s="321"/>
      <c r="C24" s="308"/>
      <c r="D24" s="109" t="str">
        <f>'Project Data'!B67</f>
        <v>Please select</v>
      </c>
      <c r="E24" s="109">
        <f>'Project Data'!B68</f>
        <v>0</v>
      </c>
      <c r="F24" s="103" t="s">
        <v>80</v>
      </c>
      <c r="G24" s="109" t="str">
        <f>_xlfn.XLOOKUP(D24,'Emission Factors'!$A$71:$A$73,'Emission Factors'!$B$71:$B$73,"Not found - use EF override",0)</f>
        <v>Not found - use EF override</v>
      </c>
      <c r="H24" s="111"/>
      <c r="I24" s="105">
        <f t="shared" si="0"/>
        <v>0</v>
      </c>
      <c r="J24" s="103" t="s">
        <v>199</v>
      </c>
      <c r="K24" s="76"/>
      <c r="L24" s="106">
        <f>IF(D24='Emission Factors'!$A$71,IF(B$8&gt;0,E24*I24/$B$8,0),0)</f>
        <v>0</v>
      </c>
    </row>
    <row r="25" spans="1:12" ht="15" customHeight="1" x14ac:dyDescent="0.3">
      <c r="A25" s="153" t="s">
        <v>249</v>
      </c>
      <c r="B25" s="327"/>
      <c r="C25" s="309"/>
      <c r="D25" s="109" t="str">
        <f>'Project Data'!B69</f>
        <v>Please select</v>
      </c>
      <c r="E25" s="109">
        <f>'Project Data'!B70</f>
        <v>0</v>
      </c>
      <c r="F25" s="103" t="s">
        <v>80</v>
      </c>
      <c r="G25" s="109" t="str">
        <f>_xlfn.XLOOKUP(D25,'Emission Factors'!$A$71:$A$73,'Emission Factors'!$B$71:$B$73,"Not found - use EF override",0)</f>
        <v>Not found - use EF override</v>
      </c>
      <c r="H25" s="111"/>
      <c r="I25" s="105">
        <f t="shared" si="0"/>
        <v>0</v>
      </c>
      <c r="J25" s="103" t="s">
        <v>199</v>
      </c>
      <c r="K25" s="76"/>
      <c r="L25" s="106">
        <f>IF(D25='Emission Factors'!$A$71,IF(B$8&gt;0,E25*I25/$B$8,0),0)</f>
        <v>0</v>
      </c>
    </row>
    <row r="26" spans="1:12" ht="30" customHeight="1" x14ac:dyDescent="0.3">
      <c r="A26" s="126" t="s">
        <v>579</v>
      </c>
      <c r="B26" s="127"/>
      <c r="C26" s="128" t="s">
        <v>580</v>
      </c>
      <c r="D26" s="128"/>
      <c r="E26" s="129"/>
      <c r="F26" s="129"/>
      <c r="G26" s="130"/>
      <c r="H26" s="129"/>
      <c r="I26" s="129"/>
      <c r="J26" s="130"/>
      <c r="K26" s="131" t="s">
        <v>102</v>
      </c>
      <c r="L26" s="132">
        <v>1</v>
      </c>
    </row>
    <row r="27" spans="1:12" ht="31.2" customHeight="1" x14ac:dyDescent="0.3">
      <c r="A27" s="126" t="s">
        <v>212</v>
      </c>
      <c r="B27" s="154" t="s">
        <v>250</v>
      </c>
      <c r="C27" s="128"/>
      <c r="D27" s="128"/>
      <c r="E27" s="128"/>
      <c r="F27" s="128"/>
      <c r="G27" s="128"/>
      <c r="H27" s="128"/>
      <c r="I27" s="128"/>
      <c r="J27" s="128"/>
      <c r="K27" s="128"/>
      <c r="L27" s="155">
        <f>L26*SUM(L13:L25)</f>
        <v>3.495283018867924E-6</v>
      </c>
    </row>
    <row r="28" spans="1:12" ht="14.4" customHeight="1" x14ac:dyDescent="0.3"/>
    <row r="29" spans="1:12" x14ac:dyDescent="0.3">
      <c r="A29" s="306" t="s">
        <v>252</v>
      </c>
      <c r="B29" s="302"/>
      <c r="C29" s="302"/>
      <c r="D29" s="302"/>
      <c r="E29" s="302"/>
      <c r="F29" s="302"/>
      <c r="G29" s="302"/>
      <c r="H29" s="302"/>
      <c r="I29" s="302"/>
      <c r="J29" s="302"/>
      <c r="K29" s="302"/>
      <c r="L29" s="302"/>
    </row>
    <row r="30" spans="1:12" x14ac:dyDescent="0.3">
      <c r="A30" s="301" t="s">
        <v>253</v>
      </c>
      <c r="B30" s="302"/>
      <c r="C30" s="302"/>
      <c r="D30" s="302"/>
      <c r="E30" s="302"/>
      <c r="F30" s="302"/>
      <c r="G30" s="302"/>
      <c r="H30" s="302"/>
      <c r="I30" s="302"/>
      <c r="J30" s="302"/>
      <c r="K30" s="302"/>
      <c r="L30" s="302"/>
    </row>
    <row r="31" spans="1:12" x14ac:dyDescent="0.3">
      <c r="A31" s="301" t="s">
        <v>581</v>
      </c>
      <c r="B31" s="302"/>
      <c r="C31" s="302"/>
      <c r="D31" s="302"/>
      <c r="E31" s="302"/>
      <c r="F31" s="302"/>
      <c r="G31" s="302"/>
      <c r="H31" s="302"/>
      <c r="I31" s="302"/>
      <c r="J31" s="302"/>
      <c r="K31" s="302"/>
      <c r="L31" s="302"/>
    </row>
    <row r="32" spans="1:12" x14ac:dyDescent="0.3">
      <c r="A32" s="301" t="s">
        <v>254</v>
      </c>
      <c r="B32" s="302"/>
      <c r="C32" s="302"/>
      <c r="D32" s="302"/>
      <c r="E32" s="302"/>
      <c r="F32" s="302"/>
      <c r="G32" s="302"/>
      <c r="H32" s="302"/>
      <c r="I32" s="302"/>
      <c r="J32" s="302"/>
      <c r="K32" s="302"/>
      <c r="L32" s="302"/>
    </row>
  </sheetData>
  <sheetProtection sheet="1" formatCells="0" formatColumns="0" formatRows="0" sort="0" autoFilter="0" pivotTables="0"/>
  <mergeCells count="29">
    <mergeCell ref="A1:K1"/>
    <mergeCell ref="J11:J12"/>
    <mergeCell ref="C22:C25"/>
    <mergeCell ref="K11:K12"/>
    <mergeCell ref="B2:L2"/>
    <mergeCell ref="C19:C21"/>
    <mergeCell ref="C11:C12"/>
    <mergeCell ref="B6:L6"/>
    <mergeCell ref="B5:L5"/>
    <mergeCell ref="B4:L4"/>
    <mergeCell ref="B22:B25"/>
    <mergeCell ref="C8:L8"/>
    <mergeCell ref="B3:L3"/>
    <mergeCell ref="B11:B12"/>
    <mergeCell ref="B15:B17"/>
    <mergeCell ref="H11:H12"/>
    <mergeCell ref="A30:L30"/>
    <mergeCell ref="A10:L10"/>
    <mergeCell ref="C15:C17"/>
    <mergeCell ref="A29:L29"/>
    <mergeCell ref="A32:L32"/>
    <mergeCell ref="F11:F12"/>
    <mergeCell ref="L11:L12"/>
    <mergeCell ref="D12:E12"/>
    <mergeCell ref="A31:L31"/>
    <mergeCell ref="B19:B21"/>
    <mergeCell ref="I11:I12"/>
    <mergeCell ref="G11:G12"/>
    <mergeCell ref="A11:A1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5B96"/>
  </sheetPr>
  <dimension ref="A1:L47"/>
  <sheetViews>
    <sheetView zoomScale="90" zoomScaleNormal="90" workbookViewId="0">
      <pane ySplit="13" topLeftCell="A14" activePane="bottomLeft" state="frozen"/>
      <selection pane="bottomLeft" activeCell="H17" sqref="H17"/>
    </sheetView>
  </sheetViews>
  <sheetFormatPr defaultRowHeight="14.4" x14ac:dyDescent="0.3"/>
  <cols>
    <col min="1" max="1" width="40.77734375" style="2" customWidth="1"/>
    <col min="2" max="2" width="15.77734375" style="2" customWidth="1"/>
    <col min="3" max="4" width="30.77734375" style="2" customWidth="1"/>
    <col min="5" max="6" width="15.77734375" style="2" customWidth="1"/>
    <col min="7" max="7" width="30.77734375" style="2" customWidth="1"/>
    <col min="8" max="10" width="15.77734375" style="2" customWidth="1"/>
    <col min="11" max="11" width="30.77734375" style="2" customWidth="1"/>
    <col min="12" max="12" width="15.77734375" style="2" customWidth="1"/>
    <col min="13" max="13" width="8.88671875" style="2" customWidth="1"/>
    <col min="14" max="16384" width="8.88671875" style="2"/>
  </cols>
  <sheetData>
    <row r="1" spans="1:12" ht="19.95" customHeight="1" x14ac:dyDescent="0.3">
      <c r="A1" s="298" t="s">
        <v>255</v>
      </c>
      <c r="B1" s="295"/>
      <c r="C1" s="295"/>
      <c r="D1" s="295"/>
      <c r="E1" s="295"/>
      <c r="F1" s="295"/>
      <c r="G1" s="295"/>
      <c r="H1" s="295"/>
      <c r="I1" s="295"/>
      <c r="J1" s="295"/>
      <c r="K1" s="295"/>
      <c r="L1" s="296"/>
    </row>
    <row r="2" spans="1:12" ht="14.4" customHeight="1" x14ac:dyDescent="0.3">
      <c r="A2" s="92" t="s">
        <v>132</v>
      </c>
      <c r="B2" s="331" t="s">
        <v>256</v>
      </c>
      <c r="C2" s="295"/>
      <c r="D2" s="295"/>
      <c r="E2" s="295"/>
      <c r="F2" s="295"/>
      <c r="G2" s="295"/>
      <c r="H2" s="295"/>
      <c r="I2" s="295"/>
      <c r="J2" s="295"/>
      <c r="K2" s="295"/>
      <c r="L2" s="296"/>
    </row>
    <row r="3" spans="1:12" ht="14.4" customHeight="1" x14ac:dyDescent="0.3">
      <c r="A3" s="92" t="s">
        <v>134</v>
      </c>
      <c r="B3" s="331" t="s">
        <v>257</v>
      </c>
      <c r="C3" s="295"/>
      <c r="D3" s="295"/>
      <c r="E3" s="295"/>
      <c r="F3" s="295"/>
      <c r="G3" s="295"/>
      <c r="H3" s="295"/>
      <c r="I3" s="295"/>
      <c r="J3" s="295"/>
      <c r="K3" s="295"/>
      <c r="L3" s="296"/>
    </row>
    <row r="4" spans="1:12" ht="14.4" customHeight="1" x14ac:dyDescent="0.3">
      <c r="A4" s="92" t="s">
        <v>136</v>
      </c>
      <c r="B4" s="331" t="s">
        <v>258</v>
      </c>
      <c r="C4" s="295"/>
      <c r="D4" s="295"/>
      <c r="E4" s="295"/>
      <c r="F4" s="295"/>
      <c r="G4" s="295"/>
      <c r="H4" s="295"/>
      <c r="I4" s="295"/>
      <c r="J4" s="295"/>
      <c r="K4" s="295"/>
      <c r="L4" s="296"/>
    </row>
    <row r="5" spans="1:12" ht="14.4" customHeight="1" x14ac:dyDescent="0.3">
      <c r="A5" s="93" t="s">
        <v>138</v>
      </c>
      <c r="B5" s="310" t="s">
        <v>259</v>
      </c>
      <c r="C5" s="295"/>
      <c r="D5" s="295"/>
      <c r="E5" s="295"/>
      <c r="F5" s="295"/>
      <c r="G5" s="295"/>
      <c r="H5" s="295"/>
      <c r="I5" s="295"/>
      <c r="J5" s="295"/>
      <c r="K5" s="295"/>
      <c r="L5" s="296"/>
    </row>
    <row r="6" spans="1:12" ht="14.4" customHeight="1" x14ac:dyDescent="0.3">
      <c r="A6" s="94" t="s">
        <v>140</v>
      </c>
      <c r="B6" s="310" t="s">
        <v>260</v>
      </c>
      <c r="C6" s="295"/>
      <c r="D6" s="295"/>
      <c r="E6" s="295"/>
      <c r="F6" s="295"/>
      <c r="G6" s="295"/>
      <c r="H6" s="295"/>
      <c r="I6" s="295"/>
      <c r="J6" s="295"/>
      <c r="K6" s="295"/>
      <c r="L6" s="296"/>
    </row>
    <row r="7" spans="1:12" ht="14.4" customHeight="1" x14ac:dyDescent="0.3">
      <c r="A7" s="156"/>
      <c r="B7" s="157"/>
      <c r="C7" s="158"/>
      <c r="D7" s="158"/>
    </row>
    <row r="8" spans="1:12" ht="15.6" customHeight="1" x14ac:dyDescent="0.3">
      <c r="A8" s="98" t="s">
        <v>239</v>
      </c>
      <c r="B8" s="159">
        <f>'Project Data'!B12*1000</f>
        <v>530000000</v>
      </c>
      <c r="C8" s="316" t="s">
        <v>261</v>
      </c>
      <c r="D8" s="314"/>
      <c r="E8" s="314"/>
      <c r="F8" s="314"/>
      <c r="G8" s="314"/>
      <c r="H8" s="314"/>
      <c r="I8" s="314"/>
      <c r="J8" s="314"/>
      <c r="K8" s="314"/>
      <c r="L8" s="315"/>
    </row>
    <row r="9" spans="1:12" x14ac:dyDescent="0.3">
      <c r="A9" s="98" t="s">
        <v>262</v>
      </c>
      <c r="B9" s="99">
        <f>B8*'Emission Factors'!B87</f>
        <v>9858000000</v>
      </c>
      <c r="C9" s="316" t="s">
        <v>66</v>
      </c>
      <c r="D9" s="314"/>
      <c r="E9" s="314"/>
      <c r="F9" s="314"/>
      <c r="G9" s="314"/>
      <c r="H9" s="314"/>
      <c r="I9" s="314"/>
      <c r="J9" s="314"/>
      <c r="K9" s="314"/>
      <c r="L9" s="315"/>
    </row>
    <row r="10" spans="1:12" x14ac:dyDescent="0.3">
      <c r="A10" s="156"/>
      <c r="B10" s="157"/>
      <c r="C10" s="158"/>
      <c r="D10" s="158"/>
    </row>
    <row r="11" spans="1:12" ht="19.95" customHeight="1" x14ac:dyDescent="0.3">
      <c r="A11" s="330" t="s">
        <v>143</v>
      </c>
      <c r="B11" s="314"/>
      <c r="C11" s="314"/>
      <c r="D11" s="314"/>
      <c r="E11" s="314"/>
      <c r="F11" s="314"/>
      <c r="G11" s="314"/>
      <c r="H11" s="314"/>
      <c r="I11" s="314"/>
      <c r="J11" s="314"/>
      <c r="K11" s="314"/>
      <c r="L11" s="315"/>
    </row>
    <row r="12" spans="1:12" ht="19.95" customHeight="1" x14ac:dyDescent="0.3">
      <c r="A12" s="332" t="s">
        <v>144</v>
      </c>
      <c r="B12" s="332" t="s">
        <v>145</v>
      </c>
      <c r="C12" s="332" t="s">
        <v>146</v>
      </c>
      <c r="D12" s="4" t="s">
        <v>147</v>
      </c>
      <c r="E12" s="4" t="s">
        <v>148</v>
      </c>
      <c r="F12" s="332" t="s">
        <v>149</v>
      </c>
      <c r="G12" s="299" t="s">
        <v>150</v>
      </c>
      <c r="H12" s="311" t="s">
        <v>151</v>
      </c>
      <c r="I12" s="311" t="s">
        <v>152</v>
      </c>
      <c r="J12" s="299" t="s">
        <v>153</v>
      </c>
      <c r="K12" s="311" t="s">
        <v>5</v>
      </c>
      <c r="L12" s="311" t="s">
        <v>154</v>
      </c>
    </row>
    <row r="13" spans="1:12" ht="19.95" customHeight="1" x14ac:dyDescent="0.3">
      <c r="A13" s="300"/>
      <c r="B13" s="300"/>
      <c r="C13" s="300"/>
      <c r="D13" s="311" t="s">
        <v>155</v>
      </c>
      <c r="E13" s="315"/>
      <c r="F13" s="300"/>
      <c r="G13" s="300"/>
      <c r="H13" s="300"/>
      <c r="I13" s="300"/>
      <c r="J13" s="300"/>
      <c r="K13" s="300"/>
      <c r="L13" s="300"/>
    </row>
    <row r="14" spans="1:12" ht="15" customHeight="1" x14ac:dyDescent="0.3">
      <c r="A14" s="23" t="s">
        <v>263</v>
      </c>
      <c r="B14" s="100" t="s">
        <v>157</v>
      </c>
      <c r="C14" s="3" t="s">
        <v>158</v>
      </c>
      <c r="D14" s="101" t="s">
        <v>157</v>
      </c>
      <c r="E14" s="102">
        <f>'Project Data'!B17*B8</f>
        <v>99640000</v>
      </c>
      <c r="F14" s="103" t="s">
        <v>159</v>
      </c>
      <c r="G14" s="102">
        <f>'Project Data'!B18</f>
        <v>0</v>
      </c>
      <c r="H14" s="104"/>
      <c r="I14" s="105">
        <f t="shared" ref="I14:I31" si="0">IF(H14&lt;&gt;"",H14,IF(ISNUMBER(G14),G14,0))</f>
        <v>0</v>
      </c>
      <c r="J14" s="103" t="s">
        <v>160</v>
      </c>
      <c r="K14" s="76"/>
      <c r="L14" s="106">
        <f>IF(B$9&gt;0,E14*I14/$B$9,0)</f>
        <v>0</v>
      </c>
    </row>
    <row r="15" spans="1:12" ht="15" customHeight="1" x14ac:dyDescent="0.3">
      <c r="A15" s="23" t="s">
        <v>264</v>
      </c>
      <c r="B15" s="100" t="s">
        <v>157</v>
      </c>
      <c r="C15" s="3" t="s">
        <v>158</v>
      </c>
      <c r="D15" s="101" t="s">
        <v>157</v>
      </c>
      <c r="E15" s="102">
        <f>'Project Data'!B21*B8</f>
        <v>437316250</v>
      </c>
      <c r="F15" s="103" t="s">
        <v>265</v>
      </c>
      <c r="G15" s="102">
        <f>'Project Data'!B22</f>
        <v>0</v>
      </c>
      <c r="H15" s="104"/>
      <c r="I15" s="105">
        <f t="shared" si="0"/>
        <v>0</v>
      </c>
      <c r="J15" s="103" t="s">
        <v>163</v>
      </c>
      <c r="K15" s="76"/>
      <c r="L15" s="106">
        <f>IF(B$9&gt;0,E15*I15/$B$9,0)</f>
        <v>0</v>
      </c>
    </row>
    <row r="16" spans="1:12" ht="15" customHeight="1" x14ac:dyDescent="0.3">
      <c r="A16" s="23" t="s">
        <v>266</v>
      </c>
      <c r="B16" s="307" t="s">
        <v>267</v>
      </c>
      <c r="C16" s="318" t="s">
        <v>268</v>
      </c>
      <c r="D16" s="108" t="str">
        <f>'Project Data'!A25</f>
        <v>Grid Electricity Consumption</v>
      </c>
      <c r="E16" s="109">
        <f>('Project Data'!B25+'Project Data'!B31)*1000</f>
        <v>350000000</v>
      </c>
      <c r="F16" s="110" t="s">
        <v>167</v>
      </c>
      <c r="G16" s="109" t="s">
        <v>168</v>
      </c>
      <c r="H16" s="111">
        <v>608</v>
      </c>
      <c r="I16" s="105">
        <f t="shared" si="0"/>
        <v>608</v>
      </c>
      <c r="J16" s="110" t="s">
        <v>169</v>
      </c>
      <c r="K16" s="76"/>
      <c r="L16" s="106">
        <f>IF(B$9&gt;0,E16*I16/$B$9,0)</f>
        <v>21.586528707648611</v>
      </c>
    </row>
    <row r="17" spans="1:12" ht="15" customHeight="1" x14ac:dyDescent="0.3">
      <c r="A17" s="23" t="s">
        <v>266</v>
      </c>
      <c r="B17" s="308"/>
      <c r="C17" s="308"/>
      <c r="D17" s="108" t="str">
        <f>'Project Data'!A26</f>
        <v>Renewable Electricity Consumption</v>
      </c>
      <c r="E17" s="109">
        <f>('Project Data'!B26+'Project Data'!B32)*1000</f>
        <v>12600000000</v>
      </c>
      <c r="F17" s="103" t="s">
        <v>167</v>
      </c>
      <c r="G17" s="112">
        <f>0</f>
        <v>0</v>
      </c>
      <c r="H17" s="104"/>
      <c r="I17" s="113">
        <f t="shared" si="0"/>
        <v>0</v>
      </c>
      <c r="J17" s="103" t="s">
        <v>169</v>
      </c>
      <c r="K17" s="76"/>
      <c r="L17" s="114">
        <f>IF(B$9&gt;0,E17*I17/$B$9,0)</f>
        <v>0</v>
      </c>
    </row>
    <row r="18" spans="1:12" ht="15" customHeight="1" x14ac:dyDescent="0.3">
      <c r="A18" s="23" t="s">
        <v>266</v>
      </c>
      <c r="B18" s="308"/>
      <c r="C18" s="309"/>
      <c r="D18" s="108" t="str">
        <f>'Project Data'!A27</f>
        <v>Other Electricity Consumption</v>
      </c>
      <c r="E18" s="109">
        <f>('Project Data'!B27+'Project Data'!B33)*1000</f>
        <v>0</v>
      </c>
      <c r="F18" s="103" t="s">
        <v>167</v>
      </c>
      <c r="G18" s="102" t="s">
        <v>168</v>
      </c>
      <c r="H18" s="111"/>
      <c r="I18" s="113">
        <f t="shared" si="0"/>
        <v>0</v>
      </c>
      <c r="J18" s="103" t="s">
        <v>169</v>
      </c>
      <c r="K18" s="76"/>
      <c r="L18" s="114">
        <f>IF(B$9&gt;0,E18*I18/$B$9,0)</f>
        <v>0</v>
      </c>
    </row>
    <row r="19" spans="1:12" ht="45" customHeight="1" x14ac:dyDescent="0.3">
      <c r="A19" s="23" t="s">
        <v>269</v>
      </c>
      <c r="B19" s="308"/>
      <c r="C19" s="3" t="s">
        <v>172</v>
      </c>
      <c r="D19" s="102" t="str">
        <f>'Project Data'!B38</f>
        <v>Deionized water</v>
      </c>
      <c r="E19" s="102">
        <f>'Project Data'!B37</f>
        <v>1100000</v>
      </c>
      <c r="F19" s="103" t="s">
        <v>59</v>
      </c>
      <c r="G19" s="112">
        <f>_xlfn.XLOOKUP(D19,'Emission Factors'!A28:A30,'Emission Factors'!B28:B30,"Not found - use EF override",0)</f>
        <v>0.5</v>
      </c>
      <c r="H19" s="104"/>
      <c r="I19" s="113">
        <f t="shared" si="0"/>
        <v>0.5</v>
      </c>
      <c r="J19" s="103" t="s">
        <v>173</v>
      </c>
      <c r="K19" s="76"/>
      <c r="L19" s="114">
        <f>IF(B$9&gt;0,E19*I19*1000/$B$9,0)</f>
        <v>5.5792249949279775E-2</v>
      </c>
    </row>
    <row r="20" spans="1:12" ht="15" customHeight="1" x14ac:dyDescent="0.3">
      <c r="A20" s="23" t="s">
        <v>270</v>
      </c>
      <c r="B20" s="308"/>
      <c r="C20" s="307" t="s">
        <v>175</v>
      </c>
      <c r="D20" s="102" t="str">
        <f>'Project Data'!B45</f>
        <v>Diesel</v>
      </c>
      <c r="E20" s="102">
        <f>'Project Data'!B46</f>
        <v>25000</v>
      </c>
      <c r="F20" s="103" t="s">
        <v>66</v>
      </c>
      <c r="G20" s="102">
        <f>_xlfn.XLOOKUP(D20,'Emission Factors'!$A$15:$A$22,'Emission Factors'!$E$15:$E$22,"Not found - use EF override",0)</f>
        <v>95.1</v>
      </c>
      <c r="H20" s="111"/>
      <c r="I20" s="113">
        <f t="shared" si="0"/>
        <v>95.1</v>
      </c>
      <c r="J20" s="103" t="s">
        <v>176</v>
      </c>
      <c r="K20" s="76"/>
      <c r="L20" s="114">
        <f>IF(B$9&gt;0,E20*I20/$B$9,0)</f>
        <v>2.4117468046256846E-4</v>
      </c>
    </row>
    <row r="21" spans="1:12" ht="15" customHeight="1" x14ac:dyDescent="0.3">
      <c r="A21" s="23" t="s">
        <v>270</v>
      </c>
      <c r="B21" s="308"/>
      <c r="C21" s="308"/>
      <c r="D21" s="102" t="str">
        <f>'Project Data'!B47</f>
        <v>Please select</v>
      </c>
      <c r="E21" s="102">
        <f>'Project Data'!B48</f>
        <v>0</v>
      </c>
      <c r="F21" s="103" t="s">
        <v>66</v>
      </c>
      <c r="G21" s="102" t="str">
        <f>_xlfn.XLOOKUP(D21,'Emission Factors'!$A$15:$A$22,'Emission Factors'!$E$15:$E$22,"Not found - use EF override",0)</f>
        <v>Not found - use EF override</v>
      </c>
      <c r="H21" s="104"/>
      <c r="I21" s="113">
        <f t="shared" si="0"/>
        <v>0</v>
      </c>
      <c r="J21" s="103" t="s">
        <v>176</v>
      </c>
      <c r="K21" s="76"/>
      <c r="L21" s="114">
        <f>IF(B$9&gt;0,E21*I21/$B$9,0)</f>
        <v>0</v>
      </c>
    </row>
    <row r="22" spans="1:12" ht="15" customHeight="1" x14ac:dyDescent="0.3">
      <c r="A22" s="23" t="s">
        <v>270</v>
      </c>
      <c r="B22" s="309"/>
      <c r="C22" s="309"/>
      <c r="D22" s="102" t="str">
        <f>'Project Data'!B49</f>
        <v>Please select</v>
      </c>
      <c r="E22" s="102">
        <f>'Project Data'!B50</f>
        <v>0</v>
      </c>
      <c r="F22" s="103" t="s">
        <v>66</v>
      </c>
      <c r="G22" s="102" t="str">
        <f>_xlfn.XLOOKUP(D22,'Emission Factors'!$A$15:$A$22,'Emission Factors'!$E$15:$E$22,"Not found - use EF override",0)</f>
        <v>Not found - use EF override</v>
      </c>
      <c r="H22" s="111"/>
      <c r="I22" s="113">
        <f t="shared" si="0"/>
        <v>0</v>
      </c>
      <c r="J22" s="103" t="s">
        <v>176</v>
      </c>
      <c r="K22" s="76"/>
      <c r="L22" s="114">
        <f>IF(B$9&gt;0,E22*I22/$B$9,0)</f>
        <v>0</v>
      </c>
    </row>
    <row r="23" spans="1:12" ht="15" customHeight="1" x14ac:dyDescent="0.3">
      <c r="A23" t="s">
        <v>271</v>
      </c>
      <c r="B23" s="160" t="s">
        <v>157</v>
      </c>
      <c r="C23" s="5" t="s">
        <v>178</v>
      </c>
      <c r="D23" s="161" t="str">
        <f>'Project Data'!B42</f>
        <v>Please select</v>
      </c>
      <c r="E23" s="161">
        <f>'Project Data'!B41</f>
        <v>0</v>
      </c>
      <c r="F23" s="162" t="s">
        <v>66</v>
      </c>
      <c r="G23" s="161" t="str">
        <f>_xlfn.XLOOKUP(D23,'Emission Factors'!A62:A65,'Emission Factors'!B62:B65,"Not found - use EF override",0)</f>
        <v>Not found - use EF override</v>
      </c>
      <c r="H23" s="163"/>
      <c r="I23" s="164">
        <f t="shared" si="0"/>
        <v>0</v>
      </c>
      <c r="J23" s="162" t="s">
        <v>179</v>
      </c>
      <c r="K23" s="165"/>
      <c r="L23" s="166">
        <f>IF(B$9&gt;0,E23*I23*1000/$B$9,0)</f>
        <v>0</v>
      </c>
    </row>
    <row r="24" spans="1:12" ht="15" customHeight="1" x14ac:dyDescent="0.3">
      <c r="A24" s="89" t="s">
        <v>272</v>
      </c>
      <c r="B24" s="328" t="s">
        <v>267</v>
      </c>
      <c r="C24" s="328" t="s">
        <v>181</v>
      </c>
      <c r="D24" s="167" t="str">
        <f>'Project Data'!B53</f>
        <v>Potassium hydroxide (KOH)</v>
      </c>
      <c r="E24" s="167">
        <f>'Project Data'!B54</f>
        <v>200000</v>
      </c>
      <c r="F24" s="168" t="s">
        <v>80</v>
      </c>
      <c r="G24" s="167">
        <f>_xlfn.XLOOKUP(D24,'Emission Factors'!$A$40:$A$56,'Emission Factors'!$B$40:$B$56,"Not found - use EF override",0)</f>
        <v>419.1</v>
      </c>
      <c r="H24" s="169"/>
      <c r="I24" s="170">
        <f t="shared" si="0"/>
        <v>419.1</v>
      </c>
      <c r="J24" s="168" t="s">
        <v>182</v>
      </c>
      <c r="K24" s="71"/>
      <c r="L24" s="171">
        <f>IF(B$9&gt;0,E24*I24/$B$9,0)</f>
        <v>8.5027388922702379E-3</v>
      </c>
    </row>
    <row r="25" spans="1:12" ht="15" customHeight="1" x14ac:dyDescent="0.3">
      <c r="A25" s="89" t="s">
        <v>272</v>
      </c>
      <c r="B25" s="329"/>
      <c r="C25" s="329"/>
      <c r="D25" s="167" t="str">
        <f>'Project Data'!B55</f>
        <v>Please select</v>
      </c>
      <c r="E25" s="167">
        <f>'Project Data'!B56</f>
        <v>0</v>
      </c>
      <c r="F25" s="168" t="s">
        <v>80</v>
      </c>
      <c r="G25" s="167" t="str">
        <f>_xlfn.XLOOKUP(D25,'Emission Factors'!$A$40:$A$56,'Emission Factors'!$B$40:$B$56,"Not found - use EF override",0)</f>
        <v>Not found - use EF override</v>
      </c>
      <c r="H25" s="169"/>
      <c r="I25" s="170">
        <f t="shared" si="0"/>
        <v>0</v>
      </c>
      <c r="J25" s="168" t="s">
        <v>182</v>
      </c>
      <c r="K25" s="71"/>
      <c r="L25" s="171">
        <f>IF(B$9&gt;0,E25*I25/$B$9,0)</f>
        <v>0</v>
      </c>
    </row>
    <row r="26" spans="1:12" ht="15" customHeight="1" x14ac:dyDescent="0.3">
      <c r="A26" s="89" t="s">
        <v>272</v>
      </c>
      <c r="B26" s="329"/>
      <c r="C26" s="329"/>
      <c r="D26" s="167" t="str">
        <f>'Project Data'!B57</f>
        <v>Please select</v>
      </c>
      <c r="E26" s="167">
        <f>'Project Data'!B58</f>
        <v>0</v>
      </c>
      <c r="F26" s="168" t="s">
        <v>80</v>
      </c>
      <c r="G26" s="167" t="str">
        <f>_xlfn.XLOOKUP(D26,'Emission Factors'!$A$40:$A$56,'Emission Factors'!$B$40:$B$56,"Not found - use EF override",0)</f>
        <v>Not found - use EF override</v>
      </c>
      <c r="H26" s="169"/>
      <c r="I26" s="170">
        <f t="shared" si="0"/>
        <v>0</v>
      </c>
      <c r="J26" s="168" t="s">
        <v>182</v>
      </c>
      <c r="K26" s="71"/>
      <c r="L26" s="171">
        <f>IF(B$9&gt;0,E26*I26/$B$9,0)</f>
        <v>0</v>
      </c>
    </row>
    <row r="27" spans="1:12" ht="15" customHeight="1" x14ac:dyDescent="0.3">
      <c r="A27" s="89" t="s">
        <v>272</v>
      </c>
      <c r="B27" s="329"/>
      <c r="C27" s="300"/>
      <c r="D27" s="167" t="str">
        <f>'Project Data'!B59</f>
        <v>Please select</v>
      </c>
      <c r="E27" s="167">
        <f>'Project Data'!B60</f>
        <v>0</v>
      </c>
      <c r="F27" s="168" t="s">
        <v>80</v>
      </c>
      <c r="G27" s="167" t="str">
        <f>_xlfn.XLOOKUP(D27,'Emission Factors'!$A$40:$A$56,'Emission Factors'!$B$40:$B$56,"Not found - use EF override",0)</f>
        <v>Not found - use EF override</v>
      </c>
      <c r="H27" s="169"/>
      <c r="I27" s="170">
        <f t="shared" si="0"/>
        <v>0</v>
      </c>
      <c r="J27" s="168" t="s">
        <v>182</v>
      </c>
      <c r="K27" s="71"/>
      <c r="L27" s="171">
        <f>IF(B$9&gt;0,E27*I27/$B$9,0)</f>
        <v>0</v>
      </c>
    </row>
    <row r="28" spans="1:12" ht="15" customHeight="1" x14ac:dyDescent="0.3">
      <c r="A28" s="172" t="s">
        <v>273</v>
      </c>
      <c r="B28" s="329"/>
      <c r="C28" s="328" t="s">
        <v>198</v>
      </c>
      <c r="D28" s="167" t="str">
        <f>'Project Data'!B63</f>
        <v>Please select</v>
      </c>
      <c r="E28" s="167">
        <f>'Project Data'!B64</f>
        <v>0</v>
      </c>
      <c r="F28" s="168" t="s">
        <v>80</v>
      </c>
      <c r="G28" s="167" t="str">
        <f>_xlfn.XLOOKUP(D28,'Emission Factors'!$A$71:$A$73,'Emission Factors'!$B$71:$B$73,"Not found - use EF override",0)</f>
        <v>Not found - use EF override</v>
      </c>
      <c r="H28" s="169"/>
      <c r="I28" s="167">
        <f t="shared" si="0"/>
        <v>0</v>
      </c>
      <c r="J28" s="168" t="s">
        <v>199</v>
      </c>
      <c r="K28" s="71"/>
      <c r="L28" s="173">
        <f>IF(B$9&gt;0,E28*I28*1000/$B$9,0)</f>
        <v>0</v>
      </c>
    </row>
    <row r="29" spans="1:12" ht="15" customHeight="1" x14ac:dyDescent="0.3">
      <c r="A29" s="172" t="s">
        <v>273</v>
      </c>
      <c r="B29" s="329"/>
      <c r="C29" s="329"/>
      <c r="D29" s="167" t="str">
        <f>'Project Data'!B65</f>
        <v>Please select</v>
      </c>
      <c r="E29" s="167">
        <f>'Project Data'!B66</f>
        <v>0</v>
      </c>
      <c r="F29" s="168" t="s">
        <v>80</v>
      </c>
      <c r="G29" s="167" t="str">
        <f>_xlfn.XLOOKUP(D29,'Emission Factors'!$A$71:$A$73,'Emission Factors'!$B$71:$B$73,"Not found - use EF override",0)</f>
        <v>Not found - use EF override</v>
      </c>
      <c r="H29" s="169"/>
      <c r="I29" s="167">
        <f t="shared" si="0"/>
        <v>0</v>
      </c>
      <c r="J29" s="168" t="s">
        <v>199</v>
      </c>
      <c r="K29" s="71"/>
      <c r="L29" s="173">
        <f>IF(B$9&gt;0,E29*I29*1000/$B$9,0)</f>
        <v>0</v>
      </c>
    </row>
    <row r="30" spans="1:12" ht="15" customHeight="1" x14ac:dyDescent="0.3">
      <c r="A30" s="172" t="s">
        <v>273</v>
      </c>
      <c r="B30" s="329"/>
      <c r="C30" s="329"/>
      <c r="D30" s="167" t="str">
        <f>'Project Data'!B67</f>
        <v>Please select</v>
      </c>
      <c r="E30" s="167">
        <f>'Project Data'!B68</f>
        <v>0</v>
      </c>
      <c r="F30" s="168" t="s">
        <v>80</v>
      </c>
      <c r="G30" s="167" t="str">
        <f>_xlfn.XLOOKUP(D30,'Emission Factors'!$A$71:$A$73,'Emission Factors'!$B$71:$B$73,"Not found - use EF override",0)</f>
        <v>Not found - use EF override</v>
      </c>
      <c r="H30" s="169"/>
      <c r="I30" s="167">
        <f t="shared" si="0"/>
        <v>0</v>
      </c>
      <c r="J30" s="168" t="s">
        <v>199</v>
      </c>
      <c r="K30" s="71"/>
      <c r="L30" s="173">
        <f>IF(B$9&gt;0,E30*I30*1000/$B$9,0)</f>
        <v>0</v>
      </c>
    </row>
    <row r="31" spans="1:12" ht="15" customHeight="1" x14ac:dyDescent="0.3">
      <c r="A31" s="172" t="s">
        <v>273</v>
      </c>
      <c r="B31" s="329"/>
      <c r="C31" s="300"/>
      <c r="D31" s="167" t="str">
        <f>'Project Data'!B69</f>
        <v>Please select</v>
      </c>
      <c r="E31" s="167">
        <f>'Project Data'!B70</f>
        <v>0</v>
      </c>
      <c r="F31" s="168" t="s">
        <v>80</v>
      </c>
      <c r="G31" s="167" t="str">
        <f>_xlfn.XLOOKUP(D31,'Emission Factors'!$A$71:$A$73,'Emission Factors'!$B$71:$B$73,"Not found - use EF override",0)</f>
        <v>Not found - use EF override</v>
      </c>
      <c r="H31" s="169"/>
      <c r="I31" s="167">
        <f t="shared" si="0"/>
        <v>0</v>
      </c>
      <c r="J31" s="168" t="s">
        <v>199</v>
      </c>
      <c r="K31" s="71"/>
      <c r="L31" s="173">
        <f>IF(B$9&gt;0,E31*I31*1000/$B$9,0)</f>
        <v>0</v>
      </c>
    </row>
    <row r="32" spans="1:12" ht="60" customHeight="1" x14ac:dyDescent="0.3">
      <c r="A32" s="174" t="s">
        <v>274</v>
      </c>
      <c r="B32" s="329"/>
      <c r="C32" s="6" t="s">
        <v>275</v>
      </c>
      <c r="D32" s="175"/>
      <c r="E32" s="176"/>
      <c r="F32" s="168" t="s">
        <v>189</v>
      </c>
      <c r="G32" s="6" t="s">
        <v>9</v>
      </c>
      <c r="H32" s="6" t="s">
        <v>9</v>
      </c>
      <c r="I32" s="6" t="s">
        <v>9</v>
      </c>
      <c r="J32" s="6" t="s">
        <v>9</v>
      </c>
      <c r="K32" s="71"/>
      <c r="L32" s="173">
        <f>IF(B$9&gt;0,E32*1000/$B$9,0)</f>
        <v>0</v>
      </c>
    </row>
    <row r="33" spans="1:12" ht="30" customHeight="1" x14ac:dyDescent="0.3">
      <c r="A33" s="89" t="s">
        <v>276</v>
      </c>
      <c r="B33" s="329"/>
      <c r="C33" s="89" t="s">
        <v>277</v>
      </c>
      <c r="D33" s="6" t="s">
        <v>9</v>
      </c>
      <c r="E33" s="177"/>
      <c r="F33" s="168" t="s">
        <v>203</v>
      </c>
      <c r="G33" s="6" t="s">
        <v>9</v>
      </c>
      <c r="H33" s="6" t="s">
        <v>9</v>
      </c>
      <c r="I33" s="6" t="s">
        <v>9</v>
      </c>
      <c r="J33" s="6" t="s">
        <v>9</v>
      </c>
      <c r="K33" s="71"/>
      <c r="L33" s="173">
        <f>IF(ISNUMBER(E33),E33,0)</f>
        <v>0</v>
      </c>
    </row>
    <row r="34" spans="1:12" ht="15" customHeight="1" x14ac:dyDescent="0.3">
      <c r="A34" s="89" t="s">
        <v>278</v>
      </c>
      <c r="B34" s="300"/>
      <c r="C34" s="89" t="s">
        <v>211</v>
      </c>
      <c r="D34" s="175"/>
      <c r="E34" s="176"/>
      <c r="F34" s="168" t="s">
        <v>189</v>
      </c>
      <c r="G34" s="6" t="s">
        <v>9</v>
      </c>
      <c r="H34" s="6" t="s">
        <v>9</v>
      </c>
      <c r="I34" s="6" t="s">
        <v>9</v>
      </c>
      <c r="J34" s="6" t="s">
        <v>9</v>
      </c>
      <c r="K34" s="71"/>
      <c r="L34" s="173">
        <f>IF(B$9&gt;0,E34*1000/$B$9,0)</f>
        <v>0</v>
      </c>
    </row>
    <row r="35" spans="1:12" ht="30" customHeight="1" x14ac:dyDescent="0.3">
      <c r="A35" s="178" t="s">
        <v>279</v>
      </c>
      <c r="B35" s="179" t="s">
        <v>280</v>
      </c>
      <c r="C35" s="89" t="s">
        <v>281</v>
      </c>
      <c r="D35" s="102" t="str">
        <f>'Project Data'!B73</f>
        <v>Other</v>
      </c>
      <c r="E35" s="180">
        <f>B8*'Emission Factors'!$B$91*'Project Data'!$B$76*(44/28)</f>
        <v>68494.171428571441</v>
      </c>
      <c r="F35" s="103" t="s">
        <v>207</v>
      </c>
      <c r="G35" s="181">
        <f>'Emission Factors'!$B$73</f>
        <v>265</v>
      </c>
      <c r="H35" s="3"/>
      <c r="I35" s="3">
        <f>IF(H35&lt;&gt;"",H35,IF(ISNUMBER(G35),G35,0))</f>
        <v>265</v>
      </c>
      <c r="J35" s="3" t="s">
        <v>208</v>
      </c>
      <c r="K35" s="76"/>
      <c r="L35" s="123">
        <f>IF(B$9&gt;0,E35*I35*1000/$B$9,0)</f>
        <v>1.8412411674347164</v>
      </c>
    </row>
    <row r="36" spans="1:12" ht="15.6" customHeight="1" x14ac:dyDescent="0.3">
      <c r="A36" s="182" t="s">
        <v>282</v>
      </c>
      <c r="B36" s="183"/>
      <c r="C36" s="183"/>
      <c r="D36" s="184"/>
      <c r="E36" s="184"/>
      <c r="F36" s="183"/>
      <c r="G36" s="183"/>
      <c r="H36" s="183"/>
      <c r="I36" s="183"/>
      <c r="J36" s="183"/>
      <c r="K36" s="131" t="s">
        <v>215</v>
      </c>
      <c r="L36" s="133">
        <f>SUM(L14:L33)-L34</f>
        <v>21.651064871170625</v>
      </c>
    </row>
    <row r="37" spans="1:12" ht="15.6" customHeight="1" x14ac:dyDescent="0.3">
      <c r="A37" s="182" t="s">
        <v>283</v>
      </c>
      <c r="B37" s="183"/>
      <c r="C37" s="183"/>
      <c r="D37" s="184"/>
      <c r="E37" s="184"/>
      <c r="F37" s="183"/>
      <c r="G37" s="183"/>
      <c r="H37" s="183"/>
      <c r="I37" s="183"/>
      <c r="J37" s="183"/>
      <c r="K37" s="131" t="s">
        <v>215</v>
      </c>
      <c r="L37" s="133">
        <f>L35</f>
        <v>1.8412411674347164</v>
      </c>
    </row>
    <row r="38" spans="1:12" ht="30" customHeight="1" x14ac:dyDescent="0.3">
      <c r="A38" s="126" t="s">
        <v>579</v>
      </c>
      <c r="B38" s="127"/>
      <c r="C38" s="128" t="s">
        <v>580</v>
      </c>
      <c r="D38" s="128"/>
      <c r="E38" s="129"/>
      <c r="F38" s="129"/>
      <c r="G38" s="130"/>
      <c r="H38" s="129"/>
      <c r="I38" s="129"/>
      <c r="J38" s="130"/>
      <c r="K38" s="131" t="s">
        <v>102</v>
      </c>
      <c r="L38" s="132">
        <v>1</v>
      </c>
    </row>
    <row r="39" spans="1:12" ht="15.6" customHeight="1" x14ac:dyDescent="0.3">
      <c r="A39" s="182" t="s">
        <v>284</v>
      </c>
      <c r="B39" s="183"/>
      <c r="C39" s="183"/>
      <c r="D39" s="184"/>
      <c r="E39" s="184"/>
      <c r="F39" s="183"/>
      <c r="G39" s="183"/>
      <c r="H39" s="183"/>
      <c r="I39" s="183"/>
      <c r="J39" s="183"/>
      <c r="K39" s="131" t="s">
        <v>215</v>
      </c>
      <c r="L39" s="133">
        <f>L38*(L36+L37)</f>
        <v>23.492306038605342</v>
      </c>
    </row>
    <row r="40" spans="1:12" ht="15.6" customHeight="1" x14ac:dyDescent="0.3">
      <c r="A40" s="182" t="s">
        <v>285</v>
      </c>
      <c r="B40" s="183"/>
      <c r="C40" s="183"/>
      <c r="D40" s="184"/>
      <c r="E40" s="184"/>
      <c r="F40" s="183"/>
      <c r="G40" s="183"/>
      <c r="H40" s="183"/>
      <c r="I40" s="183"/>
      <c r="J40" s="183"/>
      <c r="K40" s="131" t="s">
        <v>286</v>
      </c>
      <c r="L40" s="133">
        <f>L39*'Emission Factors'!$B$87/1000</f>
        <v>0.4369568923180594</v>
      </c>
    </row>
    <row r="41" spans="1:12" ht="15.6" customHeight="1" x14ac:dyDescent="0.3">
      <c r="A41" s="185" t="s">
        <v>219</v>
      </c>
      <c r="B41" s="186" t="s">
        <v>582</v>
      </c>
      <c r="C41" s="186" t="s">
        <v>583</v>
      </c>
      <c r="D41" s="187" t="s">
        <v>9</v>
      </c>
      <c r="E41" s="187" t="s">
        <v>9</v>
      </c>
      <c r="F41" s="187" t="s">
        <v>9</v>
      </c>
      <c r="G41" s="187" t="s">
        <v>9</v>
      </c>
      <c r="H41" s="188" t="s">
        <v>9</v>
      </c>
      <c r="I41" s="3" t="s">
        <v>9</v>
      </c>
      <c r="J41" s="3" t="s">
        <v>9</v>
      </c>
      <c r="K41" s="189" t="s">
        <v>215</v>
      </c>
      <c r="L41" s="190">
        <f>93.3</f>
        <v>93.3</v>
      </c>
    </row>
    <row r="42" spans="1:12" ht="15.6" customHeight="1" x14ac:dyDescent="0.3">
      <c r="A42" s="191" t="s">
        <v>584</v>
      </c>
      <c r="B42" s="192"/>
      <c r="C42" s="192"/>
      <c r="D42" s="193"/>
      <c r="E42" s="193"/>
      <c r="F42" s="192"/>
      <c r="G42" s="192"/>
      <c r="H42" s="183"/>
      <c r="I42" s="183"/>
      <c r="J42" s="183"/>
      <c r="K42" s="194"/>
      <c r="L42" s="195">
        <f>IF(L41&gt;0,(L41-L39)/L41,0)</f>
        <v>0.74820679487025343</v>
      </c>
    </row>
    <row r="44" spans="1:12" x14ac:dyDescent="0.3">
      <c r="A44" s="306" t="s">
        <v>287</v>
      </c>
      <c r="B44" s="302"/>
      <c r="C44" s="302"/>
      <c r="D44" s="302"/>
      <c r="E44" s="302"/>
      <c r="F44" s="302"/>
      <c r="G44" s="302"/>
      <c r="H44" s="302"/>
      <c r="I44" s="302"/>
      <c r="J44" s="302"/>
      <c r="K44" s="302"/>
      <c r="L44" s="302"/>
    </row>
    <row r="45" spans="1:12" x14ac:dyDescent="0.3">
      <c r="A45" s="301" t="s">
        <v>288</v>
      </c>
      <c r="B45" s="302"/>
      <c r="C45" s="302"/>
      <c r="D45" s="302"/>
      <c r="E45" s="302"/>
      <c r="F45" s="302"/>
      <c r="G45" s="302"/>
      <c r="H45" s="302"/>
      <c r="I45" s="302"/>
      <c r="J45" s="302"/>
      <c r="K45" s="302"/>
      <c r="L45" s="302"/>
    </row>
    <row r="46" spans="1:12" x14ac:dyDescent="0.3">
      <c r="A46" s="301" t="s">
        <v>289</v>
      </c>
      <c r="B46" s="302"/>
      <c r="C46" s="302"/>
      <c r="D46" s="302"/>
      <c r="E46" s="302"/>
      <c r="F46" s="302"/>
      <c r="G46" s="302"/>
      <c r="H46" s="302"/>
      <c r="I46" s="302"/>
      <c r="J46" s="302"/>
      <c r="K46" s="302"/>
      <c r="L46" s="302"/>
    </row>
    <row r="47" spans="1:12" x14ac:dyDescent="0.3">
      <c r="A47" s="301" t="s">
        <v>290</v>
      </c>
      <c r="B47" s="302"/>
      <c r="C47" s="302"/>
      <c r="D47" s="302"/>
      <c r="E47" s="302"/>
      <c r="F47" s="302"/>
      <c r="G47" s="302"/>
      <c r="H47" s="302"/>
      <c r="I47" s="302"/>
      <c r="J47" s="302"/>
      <c r="K47" s="302"/>
      <c r="L47" s="302"/>
    </row>
  </sheetData>
  <sheetProtection sheet="1" formatCells="0" formatColumns="0" formatRows="0" sort="0" autoFilter="0" pivotTables="0"/>
  <mergeCells count="30">
    <mergeCell ref="J12:J13"/>
    <mergeCell ref="B3:L3"/>
    <mergeCell ref="A45:L45"/>
    <mergeCell ref="A12:A13"/>
    <mergeCell ref="D13:E13"/>
    <mergeCell ref="C12:C13"/>
    <mergeCell ref="I12:I13"/>
    <mergeCell ref="K12:K13"/>
    <mergeCell ref="B4:L4"/>
    <mergeCell ref="A44:L44"/>
    <mergeCell ref="C8:L8"/>
    <mergeCell ref="B12:B13"/>
    <mergeCell ref="F12:F13"/>
    <mergeCell ref="L12:L13"/>
    <mergeCell ref="A1:L1"/>
    <mergeCell ref="G12:G13"/>
    <mergeCell ref="B5:L5"/>
    <mergeCell ref="C24:C27"/>
    <mergeCell ref="A47:L47"/>
    <mergeCell ref="C28:C31"/>
    <mergeCell ref="B6:L6"/>
    <mergeCell ref="C9:L9"/>
    <mergeCell ref="A11:L11"/>
    <mergeCell ref="C16:C18"/>
    <mergeCell ref="B2:L2"/>
    <mergeCell ref="B16:B22"/>
    <mergeCell ref="B24:B34"/>
    <mergeCell ref="A46:L46"/>
    <mergeCell ref="H12:H13"/>
    <mergeCell ref="C20:C22"/>
  </mergeCells>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E12"/>
  <sheetViews>
    <sheetView workbookViewId="0">
      <pane ySplit="3" topLeftCell="A4" activePane="bottomLeft" state="frozen"/>
      <selection pane="bottomLeft" sqref="A1:E1"/>
    </sheetView>
  </sheetViews>
  <sheetFormatPr defaultRowHeight="14.4" x14ac:dyDescent="0.3"/>
  <cols>
    <col min="1" max="1" width="38" style="2" customWidth="1"/>
    <col min="2" max="4" width="26" style="2" customWidth="1"/>
    <col min="5" max="5" width="38" style="2" customWidth="1"/>
    <col min="6" max="6" width="8.88671875" style="2" customWidth="1"/>
    <col min="7" max="16384" width="8.88671875" style="2"/>
  </cols>
  <sheetData>
    <row r="1" spans="1:5" x14ac:dyDescent="0.3">
      <c r="A1" s="298" t="s">
        <v>291</v>
      </c>
      <c r="B1" s="295"/>
      <c r="C1" s="295"/>
      <c r="D1" s="295"/>
      <c r="E1" s="296"/>
    </row>
    <row r="2" spans="1:5" x14ac:dyDescent="0.3">
      <c r="A2" s="196" t="s">
        <v>292</v>
      </c>
      <c r="B2" s="197" t="str">
        <f>'Project Data'!B7</f>
        <v>Yes</v>
      </c>
      <c r="C2" s="197" t="str">
        <f>'Project Data'!B8</f>
        <v>Yes</v>
      </c>
      <c r="D2" s="197" t="str">
        <f>'Project Data'!B9</f>
        <v>Yes</v>
      </c>
      <c r="E2" s="153"/>
    </row>
    <row r="3" spans="1:5" x14ac:dyDescent="0.3">
      <c r="A3" s="198" t="s">
        <v>293</v>
      </c>
      <c r="B3" s="199" t="s">
        <v>294</v>
      </c>
      <c r="C3" s="200" t="s">
        <v>295</v>
      </c>
      <c r="D3" s="201" t="s">
        <v>296</v>
      </c>
      <c r="E3" s="202" t="s">
        <v>297</v>
      </c>
    </row>
    <row r="4" spans="1:5" ht="16.2" customHeight="1" x14ac:dyDescent="0.3">
      <c r="A4" s="203" t="s">
        <v>298</v>
      </c>
      <c r="B4" s="204">
        <f>IF(B2="Yes",'EU RFNBO'!L41,"NA")</f>
        <v>0.44122162374663082</v>
      </c>
      <c r="C4" s="204">
        <f>IF(C2="Yes",'EU CBAM'!L27,"NA")</f>
        <v>3.495283018867924E-6</v>
      </c>
      <c r="D4" s="204">
        <f>IF(D2="Yes",IMO!L40,"NA")</f>
        <v>0.4369568923180594</v>
      </c>
      <c r="E4" s="205"/>
    </row>
    <row r="5" spans="1:5" x14ac:dyDescent="0.3">
      <c r="A5" s="203" t="s">
        <v>299</v>
      </c>
      <c r="B5" s="204">
        <f>IF(B2="Yes",'EU RFNBO'!L40,"NA")</f>
        <v>23.721592674550042</v>
      </c>
      <c r="C5" s="204">
        <f>IF(C2="Yes",C4*1000/'Emission Factors'!$B$87,"NA")</f>
        <v>1.8791844187461955E-4</v>
      </c>
      <c r="D5" s="204">
        <f>IF(D2="Yes",IMO!L39,"NA")</f>
        <v>23.492306038605342</v>
      </c>
      <c r="E5" s="205"/>
    </row>
    <row r="6" spans="1:5" ht="52.8" customHeight="1" x14ac:dyDescent="0.3">
      <c r="A6" s="206" t="s">
        <v>300</v>
      </c>
      <c r="B6" s="207" t="s">
        <v>301</v>
      </c>
      <c r="C6" s="208" t="s">
        <v>302</v>
      </c>
      <c r="D6" s="209" t="s">
        <v>303</v>
      </c>
      <c r="E6" s="210"/>
    </row>
    <row r="7" spans="1:5" x14ac:dyDescent="0.3">
      <c r="A7" s="206" t="s">
        <v>304</v>
      </c>
      <c r="B7" s="211" t="str">
        <f>'EU RFNBO'!L44</f>
        <v>PASS</v>
      </c>
      <c r="C7" s="212" t="s">
        <v>305</v>
      </c>
      <c r="D7" s="213" t="s">
        <v>305</v>
      </c>
      <c r="E7" s="210"/>
    </row>
    <row r="9" spans="1:5" x14ac:dyDescent="0.3">
      <c r="A9" s="333" t="s">
        <v>306</v>
      </c>
      <c r="B9" s="324"/>
      <c r="C9" s="324"/>
      <c r="D9" s="324"/>
      <c r="E9" s="325"/>
    </row>
    <row r="10" spans="1:5" ht="52.8" customHeight="1" x14ac:dyDescent="0.3">
      <c r="A10" s="92" t="s">
        <v>307</v>
      </c>
      <c r="B10" s="207" t="s">
        <v>308</v>
      </c>
      <c r="C10" s="208" t="s">
        <v>309</v>
      </c>
      <c r="D10" s="209" t="s">
        <v>310</v>
      </c>
      <c r="E10" s="210"/>
    </row>
    <row r="11" spans="1:5" ht="39.6" customHeight="1" x14ac:dyDescent="0.3">
      <c r="A11" s="92" t="s">
        <v>311</v>
      </c>
      <c r="B11" s="207" t="s">
        <v>312</v>
      </c>
      <c r="C11" s="208" t="s">
        <v>313</v>
      </c>
      <c r="D11" s="209" t="s">
        <v>314</v>
      </c>
      <c r="E11" s="210"/>
    </row>
    <row r="12" spans="1:5" ht="39.6" customHeight="1" x14ac:dyDescent="0.3">
      <c r="A12" s="92" t="s">
        <v>140</v>
      </c>
      <c r="B12" s="207" t="s">
        <v>593</v>
      </c>
      <c r="C12" s="208" t="s">
        <v>315</v>
      </c>
      <c r="D12" s="209" t="s">
        <v>316</v>
      </c>
      <c r="E12" s="210"/>
    </row>
  </sheetData>
  <sheetProtection sheet="1" formatCells="0" formatColumns="0" formatRows="0" sort="0" autoFilter="0" pivotTables="0"/>
  <mergeCells count="2">
    <mergeCell ref="A1:E1"/>
    <mergeCell ref="A9:E9"/>
  </mergeCells>
  <conditionalFormatting sqref="B2">
    <cfRule type="expression" dxfId="5" priority="1" stopIfTrue="1">
      <formula>$B$2="Yes"</formula>
    </cfRule>
    <cfRule type="expression" dxfId="4" priority="2" stopIfTrue="1">
      <formula>$B$2="No"</formula>
    </cfRule>
  </conditionalFormatting>
  <conditionalFormatting sqref="C2">
    <cfRule type="expression" dxfId="3" priority="3" stopIfTrue="1">
      <formula>$C$2="Yes"</formula>
    </cfRule>
    <cfRule type="expression" dxfId="2" priority="4" stopIfTrue="1">
      <formula>$C$2="No"</formula>
    </cfRule>
  </conditionalFormatting>
  <conditionalFormatting sqref="D2">
    <cfRule type="expression" dxfId="1" priority="5" stopIfTrue="1">
      <formula>$D$2="Yes"</formula>
    </cfRule>
    <cfRule type="expression" dxfId="0" priority="6" stopIfTrue="1">
      <formula>$D$2="No"</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48235"/>
  </sheetPr>
  <dimension ref="A1:F135"/>
  <sheetViews>
    <sheetView workbookViewId="0">
      <pane ySplit="2" topLeftCell="A56" activePane="bottomLeft" state="frozen"/>
      <selection pane="bottomLeft" activeCell="A3" sqref="A3:F3"/>
    </sheetView>
  </sheetViews>
  <sheetFormatPr defaultRowHeight="14.4" x14ac:dyDescent="0.3"/>
  <cols>
    <col min="1" max="1" width="42" customWidth="1"/>
    <col min="2" max="2" width="16" customWidth="1"/>
    <col min="3" max="3" width="24" customWidth="1"/>
    <col min="4" max="4" width="36" customWidth="1"/>
    <col min="5" max="5" width="18" customWidth="1"/>
    <col min="6" max="6" width="42" customWidth="1"/>
    <col min="7" max="7" width="8.88671875" style="2" customWidth="1"/>
    <col min="8" max="16384" width="8.88671875" style="2"/>
  </cols>
  <sheetData>
    <row r="1" spans="1:6" ht="22.05" customHeight="1" x14ac:dyDescent="0.3">
      <c r="A1" s="334" t="s">
        <v>317</v>
      </c>
      <c r="B1" s="295"/>
      <c r="C1" s="295"/>
      <c r="D1" s="295"/>
      <c r="E1" s="295"/>
      <c r="F1" s="296"/>
    </row>
    <row r="2" spans="1:6" ht="15" customHeight="1" x14ac:dyDescent="0.3"/>
    <row r="3" spans="1:6" ht="15" customHeight="1" x14ac:dyDescent="0.3">
      <c r="A3" s="342" t="s">
        <v>318</v>
      </c>
      <c r="B3" s="295"/>
      <c r="C3" s="295"/>
      <c r="D3" s="295"/>
      <c r="E3" s="295"/>
      <c r="F3" s="296"/>
    </row>
    <row r="4" spans="1:6" ht="15" customHeight="1" x14ac:dyDescent="0.3">
      <c r="A4" s="214" t="s">
        <v>319</v>
      </c>
      <c r="B4" s="214" t="s">
        <v>320</v>
      </c>
      <c r="C4" s="214" t="s">
        <v>3</v>
      </c>
      <c r="D4" s="214" t="s">
        <v>321</v>
      </c>
      <c r="E4" s="214" t="s">
        <v>322</v>
      </c>
      <c r="F4" s="214" t="s">
        <v>323</v>
      </c>
    </row>
    <row r="5" spans="1:6" ht="52.8" customHeight="1" x14ac:dyDescent="0.3">
      <c r="A5" s="215" t="s">
        <v>324</v>
      </c>
      <c r="B5" s="216"/>
      <c r="C5" s="216" t="s">
        <v>169</v>
      </c>
      <c r="D5" s="216" t="s">
        <v>325</v>
      </c>
      <c r="E5" s="217" t="s">
        <v>326</v>
      </c>
      <c r="F5" s="216" t="s">
        <v>327</v>
      </c>
    </row>
    <row r="6" spans="1:6" ht="52.8" customHeight="1" x14ac:dyDescent="0.3">
      <c r="A6" s="215" t="s">
        <v>328</v>
      </c>
      <c r="B6" s="216"/>
      <c r="C6" s="216" t="s">
        <v>9</v>
      </c>
      <c r="D6" s="216" t="s">
        <v>329</v>
      </c>
      <c r="E6" s="217" t="s">
        <v>330</v>
      </c>
      <c r="F6" s="216" t="s">
        <v>331</v>
      </c>
    </row>
    <row r="7" spans="1:6" ht="26.4" customHeight="1" x14ac:dyDescent="0.3">
      <c r="A7" s="218" t="s">
        <v>332</v>
      </c>
      <c r="B7" s="219">
        <v>710</v>
      </c>
      <c r="C7" s="220" t="s">
        <v>169</v>
      </c>
      <c r="D7" s="221" t="s">
        <v>333</v>
      </c>
      <c r="E7" s="221" t="s">
        <v>334</v>
      </c>
      <c r="F7" s="222" t="s">
        <v>335</v>
      </c>
    </row>
    <row r="8" spans="1:6" ht="39.6" customHeight="1" x14ac:dyDescent="0.3">
      <c r="A8" s="218" t="s">
        <v>336</v>
      </c>
      <c r="B8" s="223"/>
      <c r="C8" s="220" t="s">
        <v>169</v>
      </c>
      <c r="D8" s="221" t="s">
        <v>337</v>
      </c>
      <c r="E8" s="221" t="s">
        <v>338</v>
      </c>
      <c r="F8" s="222" t="s">
        <v>335</v>
      </c>
    </row>
    <row r="9" spans="1:6" ht="26.4" customHeight="1" x14ac:dyDescent="0.3">
      <c r="A9" s="218" t="s">
        <v>339</v>
      </c>
      <c r="B9" s="219">
        <v>459.4</v>
      </c>
      <c r="C9" s="220" t="s">
        <v>169</v>
      </c>
      <c r="D9" s="221" t="s">
        <v>340</v>
      </c>
      <c r="E9" s="221" t="s">
        <v>341</v>
      </c>
      <c r="F9" s="222" t="s">
        <v>342</v>
      </c>
    </row>
    <row r="10" spans="1:6" ht="26.4" customHeight="1" x14ac:dyDescent="0.3">
      <c r="A10" s="218" t="s">
        <v>343</v>
      </c>
      <c r="B10" s="223"/>
      <c r="C10" s="220" t="s">
        <v>169</v>
      </c>
      <c r="D10" s="221" t="s">
        <v>344</v>
      </c>
      <c r="E10" s="221" t="s">
        <v>345</v>
      </c>
      <c r="F10" s="222" t="s">
        <v>346</v>
      </c>
    </row>
    <row r="11" spans="1:6" x14ac:dyDescent="0.3">
      <c r="A11" s="2"/>
      <c r="B11" s="2"/>
      <c r="C11" s="2"/>
      <c r="D11" s="2"/>
      <c r="E11" s="2"/>
      <c r="F11" s="2"/>
    </row>
    <row r="12" spans="1:6" ht="19.95" customHeight="1" x14ac:dyDescent="0.3">
      <c r="A12" s="339" t="s">
        <v>347</v>
      </c>
      <c r="B12" s="292"/>
      <c r="C12" s="292"/>
      <c r="D12" s="292"/>
      <c r="E12" s="292"/>
      <c r="F12" s="337"/>
    </row>
    <row r="13" spans="1:6" ht="24" customHeight="1" x14ac:dyDescent="0.3">
      <c r="A13" s="224" t="s">
        <v>348</v>
      </c>
      <c r="B13" s="224" t="s">
        <v>349</v>
      </c>
      <c r="C13" s="224" t="s">
        <v>350</v>
      </c>
      <c r="D13" s="224" t="s">
        <v>351</v>
      </c>
      <c r="E13" s="224" t="s">
        <v>352</v>
      </c>
      <c r="F13" s="224" t="s">
        <v>353</v>
      </c>
    </row>
    <row r="14" spans="1:6" x14ac:dyDescent="0.3">
      <c r="A14" s="225" t="s">
        <v>18</v>
      </c>
      <c r="B14" s="226"/>
      <c r="C14" s="227"/>
      <c r="D14" s="228"/>
      <c r="E14" s="229"/>
      <c r="F14" s="230" t="s">
        <v>354</v>
      </c>
    </row>
    <row r="15" spans="1:6" ht="22.8" customHeight="1" x14ac:dyDescent="0.3">
      <c r="A15" s="77" t="s">
        <v>355</v>
      </c>
      <c r="B15" s="226">
        <v>56.1</v>
      </c>
      <c r="C15" s="227">
        <v>5.3999999999999999E-2</v>
      </c>
      <c r="D15" s="228">
        <v>9.6999999999999993</v>
      </c>
      <c r="E15" s="229">
        <v>66</v>
      </c>
      <c r="F15" s="230" t="s">
        <v>356</v>
      </c>
    </row>
    <row r="16" spans="1:6" ht="22.8" customHeight="1" x14ac:dyDescent="0.3">
      <c r="A16" s="77" t="s">
        <v>357</v>
      </c>
      <c r="B16" s="226">
        <v>74.099999999999994</v>
      </c>
      <c r="C16" s="227">
        <v>0.24299999999999999</v>
      </c>
      <c r="D16" s="228">
        <v>21.9</v>
      </c>
      <c r="E16" s="229">
        <v>95.1</v>
      </c>
      <c r="F16" s="230" t="s">
        <v>358</v>
      </c>
    </row>
    <row r="17" spans="1:6" ht="22.8" customHeight="1" x14ac:dyDescent="0.3">
      <c r="A17" s="77" t="s">
        <v>359</v>
      </c>
      <c r="B17" s="226">
        <v>69.3</v>
      </c>
      <c r="C17" s="227">
        <v>0.24299999999999999</v>
      </c>
      <c r="D17" s="228">
        <v>19.899999999999999</v>
      </c>
      <c r="E17" s="229">
        <v>93.3</v>
      </c>
      <c r="F17" s="230" t="s">
        <v>360</v>
      </c>
    </row>
    <row r="18" spans="1:6" ht="22.8" customHeight="1" x14ac:dyDescent="0.3">
      <c r="A18" s="77" t="s">
        <v>361</v>
      </c>
      <c r="B18" s="226">
        <v>77.400000000000006</v>
      </c>
      <c r="C18" s="227">
        <v>0.24299999999999999</v>
      </c>
      <c r="D18" s="228">
        <v>13.6</v>
      </c>
      <c r="E18" s="229">
        <v>94.2</v>
      </c>
      <c r="F18" s="230" t="s">
        <v>362</v>
      </c>
    </row>
    <row r="19" spans="1:6" ht="34.200000000000003" customHeight="1" x14ac:dyDescent="0.3">
      <c r="A19" s="77" t="s">
        <v>363</v>
      </c>
      <c r="B19" s="226">
        <v>68.900000000000006</v>
      </c>
      <c r="C19" s="227">
        <v>0</v>
      </c>
      <c r="D19" s="228">
        <v>28.2</v>
      </c>
      <c r="E19" s="229">
        <v>97.1</v>
      </c>
      <c r="F19" s="230" t="s">
        <v>364</v>
      </c>
    </row>
    <row r="20" spans="1:6" ht="34.200000000000003" customHeight="1" x14ac:dyDescent="0.3">
      <c r="A20" s="77" t="s">
        <v>365</v>
      </c>
      <c r="B20" s="226">
        <v>94.6</v>
      </c>
      <c r="C20" s="227">
        <v>0.42599999999999999</v>
      </c>
      <c r="D20" s="228">
        <v>16.2</v>
      </c>
      <c r="E20" s="229">
        <v>112.3</v>
      </c>
      <c r="F20" s="230" t="s">
        <v>366</v>
      </c>
    </row>
    <row r="21" spans="1:6" ht="45.6" customHeight="1" x14ac:dyDescent="0.3">
      <c r="A21" s="77" t="s">
        <v>367</v>
      </c>
      <c r="B21" s="226">
        <v>101</v>
      </c>
      <c r="C21" s="227">
        <v>0.42599999999999999</v>
      </c>
      <c r="D21" s="228">
        <v>1.7</v>
      </c>
      <c r="E21" s="229">
        <v>116.7</v>
      </c>
      <c r="F21" s="230" t="s">
        <v>368</v>
      </c>
    </row>
    <row r="22" spans="1:6" ht="45.6" customHeight="1" x14ac:dyDescent="0.3">
      <c r="A22" s="77" t="s">
        <v>369</v>
      </c>
      <c r="B22" s="226">
        <v>63.1</v>
      </c>
      <c r="C22" s="227">
        <v>5.3999999999999999E-2</v>
      </c>
      <c r="D22" s="228">
        <v>11.6</v>
      </c>
      <c r="E22" s="229">
        <v>74.75</v>
      </c>
      <c r="F22" s="230" t="s">
        <v>370</v>
      </c>
    </row>
    <row r="23" spans="1:6" x14ac:dyDescent="0.3">
      <c r="A23" s="225" t="s">
        <v>371</v>
      </c>
      <c r="B23" s="226"/>
      <c r="C23" s="227"/>
      <c r="D23" s="228"/>
      <c r="E23" s="229"/>
      <c r="F23" s="230" t="s">
        <v>354</v>
      </c>
    </row>
    <row r="24" spans="1:6" x14ac:dyDescent="0.3">
      <c r="A24" s="2"/>
      <c r="B24" s="231"/>
      <c r="C24" s="2"/>
      <c r="D24" s="2"/>
      <c r="E24" s="2"/>
      <c r="F24" s="231"/>
    </row>
    <row r="25" spans="1:6" x14ac:dyDescent="0.3">
      <c r="A25" s="339" t="s">
        <v>372</v>
      </c>
      <c r="B25" s="292"/>
      <c r="C25" s="292"/>
      <c r="D25" s="292"/>
      <c r="E25" s="292"/>
      <c r="F25" s="337"/>
    </row>
    <row r="26" spans="1:6" x14ac:dyDescent="0.3">
      <c r="A26" s="224" t="s">
        <v>373</v>
      </c>
      <c r="B26" s="224" t="s">
        <v>320</v>
      </c>
      <c r="C26" s="224" t="s">
        <v>3</v>
      </c>
      <c r="D26" s="224" t="s">
        <v>321</v>
      </c>
      <c r="E26" s="224" t="s">
        <v>322</v>
      </c>
      <c r="F26" s="224" t="s">
        <v>323</v>
      </c>
    </row>
    <row r="27" spans="1:6" x14ac:dyDescent="0.3">
      <c r="A27" s="225" t="s">
        <v>18</v>
      </c>
      <c r="B27" s="226"/>
      <c r="C27" s="227"/>
      <c r="D27" s="228"/>
      <c r="E27" s="229"/>
      <c r="F27" s="230" t="s">
        <v>354</v>
      </c>
    </row>
    <row r="28" spans="1:6" x14ac:dyDescent="0.3">
      <c r="A28" s="77" t="s">
        <v>374</v>
      </c>
      <c r="B28" s="232">
        <v>0.34399999999999997</v>
      </c>
      <c r="C28" s="233" t="s">
        <v>173</v>
      </c>
      <c r="D28" s="234" t="s">
        <v>375</v>
      </c>
      <c r="E28" s="234" t="s">
        <v>376</v>
      </c>
      <c r="F28" s="230" t="s">
        <v>377</v>
      </c>
    </row>
    <row r="29" spans="1:6" ht="19.95" customHeight="1" x14ac:dyDescent="0.3">
      <c r="A29" s="77" t="s">
        <v>378</v>
      </c>
      <c r="B29" s="232">
        <v>1.8</v>
      </c>
      <c r="C29" s="233" t="s">
        <v>173</v>
      </c>
      <c r="D29" s="234" t="s">
        <v>379</v>
      </c>
      <c r="E29" s="234" t="s">
        <v>9</v>
      </c>
      <c r="F29" s="230" t="s">
        <v>380</v>
      </c>
    </row>
    <row r="30" spans="1:6" x14ac:dyDescent="0.3">
      <c r="A30" s="77" t="s">
        <v>381</v>
      </c>
      <c r="B30" s="232">
        <v>0.5</v>
      </c>
      <c r="C30" s="233" t="s">
        <v>173</v>
      </c>
      <c r="D30" s="234" t="s">
        <v>382</v>
      </c>
      <c r="E30" s="234" t="s">
        <v>376</v>
      </c>
      <c r="F30" s="230" t="s">
        <v>377</v>
      </c>
    </row>
    <row r="31" spans="1:6" x14ac:dyDescent="0.3">
      <c r="A31" s="225" t="s">
        <v>371</v>
      </c>
      <c r="B31" s="226"/>
      <c r="C31" s="227"/>
      <c r="D31" s="228"/>
      <c r="E31" s="229"/>
      <c r="F31" s="230" t="s">
        <v>354</v>
      </c>
    </row>
    <row r="32" spans="1:6" x14ac:dyDescent="0.3">
      <c r="A32" s="77" t="s">
        <v>383</v>
      </c>
      <c r="B32" s="232">
        <v>1.17</v>
      </c>
      <c r="C32" s="233" t="s">
        <v>173</v>
      </c>
      <c r="D32" s="234" t="s">
        <v>382</v>
      </c>
      <c r="E32" s="234" t="s">
        <v>376</v>
      </c>
      <c r="F32" s="230" t="s">
        <v>377</v>
      </c>
    </row>
    <row r="33" spans="1:6" x14ac:dyDescent="0.3">
      <c r="A33" s="77" t="s">
        <v>384</v>
      </c>
      <c r="B33" s="232">
        <v>1.94</v>
      </c>
      <c r="C33" s="233" t="s">
        <v>173</v>
      </c>
      <c r="D33" s="234" t="s">
        <v>382</v>
      </c>
      <c r="E33" s="234" t="s">
        <v>376</v>
      </c>
      <c r="F33" s="230" t="s">
        <v>377</v>
      </c>
    </row>
    <row r="34" spans="1:6" x14ac:dyDescent="0.3">
      <c r="A34" s="77" t="s">
        <v>385</v>
      </c>
      <c r="B34" s="232">
        <v>0.2</v>
      </c>
      <c r="C34" s="233" t="s">
        <v>173</v>
      </c>
      <c r="D34" s="234" t="s">
        <v>382</v>
      </c>
      <c r="E34" s="234" t="s">
        <v>376</v>
      </c>
      <c r="F34" s="230" t="s">
        <v>377</v>
      </c>
    </row>
    <row r="35" spans="1:6" ht="22.8" customHeight="1" x14ac:dyDescent="0.3">
      <c r="A35" s="77" t="s">
        <v>386</v>
      </c>
      <c r="B35" s="232">
        <v>5</v>
      </c>
      <c r="C35" s="233" t="s">
        <v>173</v>
      </c>
      <c r="D35" s="234" t="s">
        <v>387</v>
      </c>
      <c r="E35" s="234" t="s">
        <v>9</v>
      </c>
      <c r="F35" s="230" t="s">
        <v>388</v>
      </c>
    </row>
    <row r="36" spans="1:6" x14ac:dyDescent="0.3">
      <c r="A36" s="2"/>
      <c r="B36" s="231"/>
      <c r="C36" s="2"/>
      <c r="D36" s="2"/>
      <c r="E36" s="2"/>
      <c r="F36" s="231"/>
    </row>
    <row r="37" spans="1:6" x14ac:dyDescent="0.3">
      <c r="A37" s="339" t="s">
        <v>389</v>
      </c>
      <c r="B37" s="292"/>
      <c r="C37" s="292"/>
      <c r="D37" s="292"/>
      <c r="E37" s="292"/>
      <c r="F37" s="337"/>
    </row>
    <row r="38" spans="1:6" x14ac:dyDescent="0.3">
      <c r="A38" s="235" t="s">
        <v>373</v>
      </c>
      <c r="B38" s="236" t="s">
        <v>320</v>
      </c>
      <c r="C38" s="237" t="s">
        <v>3</v>
      </c>
      <c r="D38" s="237" t="s">
        <v>321</v>
      </c>
      <c r="E38" s="237" t="s">
        <v>322</v>
      </c>
      <c r="F38" s="235" t="s">
        <v>323</v>
      </c>
    </row>
    <row r="39" spans="1:6" x14ac:dyDescent="0.3">
      <c r="A39" s="225" t="s">
        <v>18</v>
      </c>
      <c r="B39" s="238"/>
      <c r="C39" s="239"/>
      <c r="D39" s="239"/>
      <c r="E39" s="240"/>
      <c r="F39" s="230" t="s">
        <v>354</v>
      </c>
    </row>
    <row r="40" spans="1:6" x14ac:dyDescent="0.3">
      <c r="A40" s="77" t="s">
        <v>390</v>
      </c>
      <c r="B40" s="241">
        <v>2351.3000000000002</v>
      </c>
      <c r="C40" s="242" t="s">
        <v>182</v>
      </c>
      <c r="D40" s="77" t="s">
        <v>391</v>
      </c>
      <c r="E40" s="243" t="s">
        <v>326</v>
      </c>
      <c r="F40" s="244" t="s">
        <v>392</v>
      </c>
    </row>
    <row r="41" spans="1:6" x14ac:dyDescent="0.3">
      <c r="A41" s="77" t="s">
        <v>393</v>
      </c>
      <c r="B41" s="241">
        <v>38.799999999999997</v>
      </c>
      <c r="C41" s="242" t="s">
        <v>182</v>
      </c>
      <c r="D41" s="77" t="s">
        <v>391</v>
      </c>
      <c r="E41" s="243" t="s">
        <v>326</v>
      </c>
      <c r="F41" s="244" t="s">
        <v>392</v>
      </c>
    </row>
    <row r="42" spans="1:6" x14ac:dyDescent="0.3">
      <c r="A42" s="77" t="s">
        <v>394</v>
      </c>
      <c r="B42" s="241">
        <v>723</v>
      </c>
      <c r="C42" s="242" t="s">
        <v>182</v>
      </c>
      <c r="D42" s="77" t="s">
        <v>391</v>
      </c>
      <c r="E42" s="243" t="s">
        <v>326</v>
      </c>
      <c r="F42" s="244" t="s">
        <v>392</v>
      </c>
    </row>
    <row r="43" spans="1:6" x14ac:dyDescent="0.3">
      <c r="A43" s="77" t="s">
        <v>395</v>
      </c>
      <c r="B43" s="241">
        <v>1061.0999999999999</v>
      </c>
      <c r="C43" s="242" t="s">
        <v>182</v>
      </c>
      <c r="D43" s="77" t="s">
        <v>391</v>
      </c>
      <c r="E43" s="243" t="s">
        <v>326</v>
      </c>
      <c r="F43" s="244" t="s">
        <v>392</v>
      </c>
    </row>
    <row r="44" spans="1:6" x14ac:dyDescent="0.3">
      <c r="A44" s="77" t="s">
        <v>396</v>
      </c>
      <c r="B44" s="241">
        <v>947</v>
      </c>
      <c r="C44" s="242" t="s">
        <v>182</v>
      </c>
      <c r="D44" s="77" t="s">
        <v>391</v>
      </c>
      <c r="E44" s="243" t="s">
        <v>326</v>
      </c>
      <c r="F44" s="244" t="s">
        <v>392</v>
      </c>
    </row>
    <row r="45" spans="1:6" x14ac:dyDescent="0.3">
      <c r="A45" s="77" t="s">
        <v>397</v>
      </c>
      <c r="B45" s="241">
        <v>191.8</v>
      </c>
      <c r="C45" s="242" t="s">
        <v>182</v>
      </c>
      <c r="D45" s="77" t="s">
        <v>391</v>
      </c>
      <c r="E45" s="243" t="s">
        <v>326</v>
      </c>
      <c r="F45" s="244" t="s">
        <v>392</v>
      </c>
    </row>
    <row r="46" spans="1:6" x14ac:dyDescent="0.3">
      <c r="A46" s="77" t="s">
        <v>398</v>
      </c>
      <c r="B46" s="241">
        <v>56.4</v>
      </c>
      <c r="C46" s="242" t="s">
        <v>182</v>
      </c>
      <c r="D46" s="77" t="s">
        <v>391</v>
      </c>
      <c r="E46" s="243" t="s">
        <v>326</v>
      </c>
      <c r="F46" s="244" t="s">
        <v>392</v>
      </c>
    </row>
    <row r="47" spans="1:6" x14ac:dyDescent="0.3">
      <c r="A47" s="77" t="s">
        <v>399</v>
      </c>
      <c r="B47" s="241">
        <v>3124.7</v>
      </c>
      <c r="C47" s="242" t="s">
        <v>182</v>
      </c>
      <c r="D47" s="77" t="s">
        <v>391</v>
      </c>
      <c r="E47" s="243" t="s">
        <v>326</v>
      </c>
      <c r="F47" s="244" t="s">
        <v>392</v>
      </c>
    </row>
    <row r="48" spans="1:6" x14ac:dyDescent="0.3">
      <c r="A48" s="77" t="s">
        <v>400</v>
      </c>
      <c r="B48" s="241">
        <v>419.1</v>
      </c>
      <c r="C48" s="242" t="s">
        <v>182</v>
      </c>
      <c r="D48" s="77" t="s">
        <v>391</v>
      </c>
      <c r="E48" s="243" t="s">
        <v>326</v>
      </c>
      <c r="F48" s="244" t="s">
        <v>392</v>
      </c>
    </row>
    <row r="49" spans="1:6" x14ac:dyDescent="0.3">
      <c r="A49" s="77" t="s">
        <v>401</v>
      </c>
      <c r="B49" s="241">
        <v>1193.2</v>
      </c>
      <c r="C49" s="242" t="s">
        <v>182</v>
      </c>
      <c r="D49" s="77" t="s">
        <v>391</v>
      </c>
      <c r="E49" s="243" t="s">
        <v>326</v>
      </c>
      <c r="F49" s="244" t="s">
        <v>392</v>
      </c>
    </row>
    <row r="50" spans="1:6" x14ac:dyDescent="0.3">
      <c r="A50" s="77" t="s">
        <v>402</v>
      </c>
      <c r="B50" s="241">
        <v>1245.0999999999999</v>
      </c>
      <c r="C50" s="242" t="s">
        <v>182</v>
      </c>
      <c r="D50" s="77" t="s">
        <v>391</v>
      </c>
      <c r="E50" s="243" t="s">
        <v>326</v>
      </c>
      <c r="F50" s="244" t="s">
        <v>392</v>
      </c>
    </row>
    <row r="51" spans="1:6" x14ac:dyDescent="0.3">
      <c r="A51" s="77" t="s">
        <v>403</v>
      </c>
      <c r="B51" s="241">
        <v>13.3</v>
      </c>
      <c r="C51" s="242" t="s">
        <v>182</v>
      </c>
      <c r="D51" s="77" t="s">
        <v>391</v>
      </c>
      <c r="E51" s="243" t="s">
        <v>326</v>
      </c>
      <c r="F51" s="244" t="s">
        <v>392</v>
      </c>
    </row>
    <row r="52" spans="1:6" x14ac:dyDescent="0.3">
      <c r="A52" s="77" t="s">
        <v>404</v>
      </c>
      <c r="B52" s="241">
        <v>529.70000000000005</v>
      </c>
      <c r="C52" s="242" t="s">
        <v>182</v>
      </c>
      <c r="D52" s="77" t="s">
        <v>391</v>
      </c>
      <c r="E52" s="243" t="s">
        <v>326</v>
      </c>
      <c r="F52" s="244" t="s">
        <v>392</v>
      </c>
    </row>
    <row r="53" spans="1:6" x14ac:dyDescent="0.3">
      <c r="A53" s="77" t="s">
        <v>405</v>
      </c>
      <c r="B53" s="241">
        <v>2425.5</v>
      </c>
      <c r="C53" s="242" t="s">
        <v>182</v>
      </c>
      <c r="D53" s="77" t="s">
        <v>391</v>
      </c>
      <c r="E53" s="243" t="s">
        <v>326</v>
      </c>
      <c r="F53" s="244" t="s">
        <v>392</v>
      </c>
    </row>
    <row r="54" spans="1:6" x14ac:dyDescent="0.3">
      <c r="A54" s="77" t="s">
        <v>406</v>
      </c>
      <c r="B54" s="241">
        <v>53.3</v>
      </c>
      <c r="C54" s="242" t="s">
        <v>182</v>
      </c>
      <c r="D54" s="77" t="s">
        <v>391</v>
      </c>
      <c r="E54" s="243" t="s">
        <v>326</v>
      </c>
      <c r="F54" s="244" t="s">
        <v>392</v>
      </c>
    </row>
    <row r="55" spans="1:6" x14ac:dyDescent="0.3">
      <c r="A55" s="77" t="s">
        <v>407</v>
      </c>
      <c r="B55" s="241">
        <v>217.5</v>
      </c>
      <c r="C55" s="242" t="s">
        <v>182</v>
      </c>
      <c r="D55" s="77" t="s">
        <v>391</v>
      </c>
      <c r="E55" s="243" t="s">
        <v>326</v>
      </c>
      <c r="F55" s="244" t="s">
        <v>392</v>
      </c>
    </row>
    <row r="56" spans="1:6" x14ac:dyDescent="0.3">
      <c r="A56" s="245" t="s">
        <v>408</v>
      </c>
      <c r="B56" s="246">
        <v>1846.6</v>
      </c>
      <c r="C56" s="242" t="s">
        <v>182</v>
      </c>
      <c r="D56" s="245" t="s">
        <v>391</v>
      </c>
      <c r="E56" s="247" t="s">
        <v>326</v>
      </c>
      <c r="F56" s="248" t="s">
        <v>392</v>
      </c>
    </row>
    <row r="57" spans="1:6" x14ac:dyDescent="0.3">
      <c r="A57" s="225" t="s">
        <v>371</v>
      </c>
      <c r="B57" s="238"/>
      <c r="C57" s="239"/>
      <c r="D57" s="239"/>
      <c r="E57" s="240"/>
      <c r="F57" s="230" t="s">
        <v>354</v>
      </c>
    </row>
    <row r="58" spans="1:6" x14ac:dyDescent="0.3">
      <c r="A58" s="249"/>
      <c r="B58" s="250"/>
      <c r="C58" s="251"/>
      <c r="D58" s="252"/>
      <c r="E58" s="252"/>
      <c r="F58" s="252"/>
    </row>
    <row r="59" spans="1:6" x14ac:dyDescent="0.3">
      <c r="A59" s="339" t="s">
        <v>409</v>
      </c>
      <c r="B59" s="292"/>
      <c r="C59" s="292"/>
      <c r="D59" s="292"/>
      <c r="E59" s="292"/>
      <c r="F59" s="337"/>
    </row>
    <row r="60" spans="1:6" x14ac:dyDescent="0.3">
      <c r="A60" s="224" t="s">
        <v>410</v>
      </c>
      <c r="B60" s="224" t="s">
        <v>320</v>
      </c>
      <c r="C60" s="224" t="s">
        <v>3</v>
      </c>
      <c r="D60" s="224" t="s">
        <v>321</v>
      </c>
      <c r="E60" s="224" t="s">
        <v>322</v>
      </c>
      <c r="F60" s="224" t="s">
        <v>323</v>
      </c>
    </row>
    <row r="61" spans="1:6" x14ac:dyDescent="0.3">
      <c r="A61" s="225" t="s">
        <v>18</v>
      </c>
      <c r="B61" s="238"/>
      <c r="C61" s="239"/>
      <c r="D61" s="239"/>
      <c r="E61" s="240"/>
      <c r="F61" s="230" t="s">
        <v>354</v>
      </c>
    </row>
    <row r="62" spans="1:6" ht="34.200000000000003" customHeight="1" x14ac:dyDescent="0.3">
      <c r="A62" s="77" t="s">
        <v>411</v>
      </c>
      <c r="B62" s="253">
        <v>6.7000000000000004E-2</v>
      </c>
      <c r="C62" s="233" t="s">
        <v>179</v>
      </c>
      <c r="D62" s="234" t="s">
        <v>412</v>
      </c>
      <c r="E62" s="234" t="s">
        <v>413</v>
      </c>
      <c r="F62" s="230" t="s">
        <v>414</v>
      </c>
    </row>
    <row r="63" spans="1:6" ht="34.200000000000003" customHeight="1" x14ac:dyDescent="0.3">
      <c r="A63" s="77" t="s">
        <v>415</v>
      </c>
      <c r="B63" s="253">
        <v>9.4600000000000004E-2</v>
      </c>
      <c r="C63" s="233" t="s">
        <v>179</v>
      </c>
      <c r="D63" s="234" t="s">
        <v>412</v>
      </c>
      <c r="E63" s="234" t="s">
        <v>413</v>
      </c>
      <c r="F63" s="230" t="s">
        <v>414</v>
      </c>
    </row>
    <row r="64" spans="1:6" ht="22.8" customHeight="1" x14ac:dyDescent="0.3">
      <c r="A64" s="77" t="s">
        <v>416</v>
      </c>
      <c r="B64" s="253">
        <v>0</v>
      </c>
      <c r="C64" s="233" t="s">
        <v>179</v>
      </c>
      <c r="D64" s="234" t="s">
        <v>417</v>
      </c>
      <c r="E64" s="234" t="s">
        <v>9</v>
      </c>
      <c r="F64" s="230" t="s">
        <v>418</v>
      </c>
    </row>
    <row r="65" spans="1:6" ht="22.8" customHeight="1" x14ac:dyDescent="0.3">
      <c r="A65" s="77" t="s">
        <v>419</v>
      </c>
      <c r="B65" s="254" t="s">
        <v>168</v>
      </c>
      <c r="C65" s="233" t="s">
        <v>179</v>
      </c>
      <c r="D65" s="234" t="s">
        <v>420</v>
      </c>
      <c r="E65" s="234" t="s">
        <v>9</v>
      </c>
      <c r="F65" s="230" t="s">
        <v>421</v>
      </c>
    </row>
    <row r="66" spans="1:6" x14ac:dyDescent="0.3">
      <c r="A66" s="225" t="s">
        <v>371</v>
      </c>
      <c r="B66" s="238"/>
      <c r="C66" s="239"/>
      <c r="D66" s="239"/>
      <c r="E66" s="240"/>
      <c r="F66" s="230" t="s">
        <v>354</v>
      </c>
    </row>
    <row r="67" spans="1:6" x14ac:dyDescent="0.3">
      <c r="A67" s="2"/>
      <c r="B67" s="231"/>
      <c r="C67" s="2"/>
      <c r="D67" s="2"/>
      <c r="E67" s="2"/>
      <c r="F67" s="231"/>
    </row>
    <row r="68" spans="1:6" x14ac:dyDescent="0.3">
      <c r="A68" s="340" t="s">
        <v>589</v>
      </c>
      <c r="B68" s="304"/>
      <c r="C68" s="304"/>
      <c r="D68" s="304"/>
      <c r="E68" s="304"/>
      <c r="F68" s="305"/>
    </row>
    <row r="69" spans="1:6" x14ac:dyDescent="0.3">
      <c r="A69" s="224" t="s">
        <v>422</v>
      </c>
      <c r="B69" s="255" t="s">
        <v>588</v>
      </c>
      <c r="C69" s="349" t="s">
        <v>353</v>
      </c>
      <c r="D69" s="350"/>
      <c r="E69" s="256" t="s">
        <v>586</v>
      </c>
      <c r="F69" s="256" t="s">
        <v>587</v>
      </c>
    </row>
    <row r="70" spans="1:6" x14ac:dyDescent="0.3">
      <c r="A70" s="225" t="s">
        <v>18</v>
      </c>
      <c r="B70" s="238"/>
      <c r="C70" s="257" t="s">
        <v>354</v>
      </c>
      <c r="D70" s="258"/>
      <c r="E70" s="259"/>
      <c r="F70" s="260"/>
    </row>
    <row r="71" spans="1:6" x14ac:dyDescent="0.3">
      <c r="A71" s="261" t="s">
        <v>423</v>
      </c>
      <c r="B71" s="262">
        <v>1</v>
      </c>
      <c r="C71" s="257" t="s">
        <v>424</v>
      </c>
      <c r="D71" s="258"/>
      <c r="E71" s="263">
        <v>1</v>
      </c>
      <c r="F71" s="260">
        <v>1</v>
      </c>
    </row>
    <row r="72" spans="1:6" x14ac:dyDescent="0.3">
      <c r="A72" s="261" t="s">
        <v>425</v>
      </c>
      <c r="B72" s="262">
        <v>28</v>
      </c>
      <c r="C72" s="257" t="s">
        <v>424</v>
      </c>
      <c r="D72" s="258"/>
      <c r="E72" s="263">
        <v>25</v>
      </c>
      <c r="F72" s="260">
        <v>28</v>
      </c>
    </row>
    <row r="73" spans="1:6" x14ac:dyDescent="0.3">
      <c r="A73" s="261" t="s">
        <v>426</v>
      </c>
      <c r="B73" s="264">
        <v>265</v>
      </c>
      <c r="C73" s="257" t="s">
        <v>424</v>
      </c>
      <c r="D73" s="258"/>
      <c r="E73" s="263">
        <v>298</v>
      </c>
      <c r="F73" s="260">
        <v>273</v>
      </c>
    </row>
    <row r="74" spans="1:6" x14ac:dyDescent="0.3">
      <c r="A74" s="225" t="s">
        <v>371</v>
      </c>
      <c r="B74" s="238"/>
      <c r="C74" s="257" t="s">
        <v>354</v>
      </c>
      <c r="D74" s="258"/>
      <c r="E74" s="259"/>
      <c r="F74" s="260"/>
    </row>
    <row r="75" spans="1:6" x14ac:dyDescent="0.3">
      <c r="A75" s="343" t="s">
        <v>427</v>
      </c>
      <c r="B75" s="292"/>
      <c r="C75" s="292"/>
      <c r="D75" s="292"/>
      <c r="E75" s="292"/>
      <c r="F75" s="337"/>
    </row>
    <row r="76" spans="1:6" x14ac:dyDescent="0.3">
      <c r="A76" s="2"/>
      <c r="B76" s="231"/>
      <c r="C76" s="2"/>
      <c r="D76" s="2"/>
      <c r="E76" s="2"/>
      <c r="F76" s="231"/>
    </row>
    <row r="77" spans="1:6" x14ac:dyDescent="0.3">
      <c r="A77" s="340" t="s">
        <v>428</v>
      </c>
      <c r="B77" s="304"/>
      <c r="C77" s="304"/>
      <c r="D77" s="304"/>
      <c r="E77" s="304"/>
      <c r="F77" s="305"/>
    </row>
    <row r="78" spans="1:6" x14ac:dyDescent="0.3">
      <c r="A78" s="265" t="s">
        <v>429</v>
      </c>
      <c r="B78" s="265" t="s">
        <v>320</v>
      </c>
      <c r="C78" s="346" t="s">
        <v>430</v>
      </c>
      <c r="D78" s="347"/>
      <c r="E78" s="347"/>
      <c r="F78" s="348"/>
    </row>
    <row r="79" spans="1:6" x14ac:dyDescent="0.3">
      <c r="A79" s="266" t="s">
        <v>431</v>
      </c>
      <c r="B79" s="267">
        <v>3.6</v>
      </c>
      <c r="C79" s="341" t="s">
        <v>432</v>
      </c>
      <c r="D79" s="314"/>
      <c r="E79" s="314"/>
      <c r="F79" s="315"/>
    </row>
    <row r="80" spans="1:6" x14ac:dyDescent="0.3">
      <c r="A80" s="266" t="s">
        <v>431</v>
      </c>
      <c r="B80" s="267">
        <v>1000</v>
      </c>
      <c r="C80" s="341" t="s">
        <v>433</v>
      </c>
      <c r="D80" s="314"/>
      <c r="E80" s="314"/>
      <c r="F80" s="315"/>
    </row>
    <row r="81" spans="1:6" x14ac:dyDescent="0.3">
      <c r="A81" s="266" t="s">
        <v>434</v>
      </c>
      <c r="B81" s="267">
        <v>1000</v>
      </c>
      <c r="C81" s="341" t="s">
        <v>435</v>
      </c>
      <c r="D81" s="314"/>
      <c r="E81" s="314"/>
      <c r="F81" s="315"/>
    </row>
    <row r="82" spans="1:6" x14ac:dyDescent="0.3">
      <c r="A82" s="266" t="s">
        <v>436</v>
      </c>
      <c r="B82" s="267">
        <v>120</v>
      </c>
      <c r="C82" s="341" t="s">
        <v>437</v>
      </c>
      <c r="D82" s="314"/>
      <c r="E82" s="314"/>
      <c r="F82" s="315"/>
    </row>
    <row r="83" spans="1:6" x14ac:dyDescent="0.3">
      <c r="A83" s="266" t="s">
        <v>438</v>
      </c>
      <c r="B83" s="267">
        <v>141.80000000000001</v>
      </c>
      <c r="C83" s="341" t="s">
        <v>439</v>
      </c>
      <c r="D83" s="314"/>
      <c r="E83" s="314"/>
      <c r="F83" s="315"/>
    </row>
    <row r="84" spans="1:6" x14ac:dyDescent="0.3">
      <c r="A84" s="2"/>
      <c r="B84" s="231"/>
      <c r="C84" s="2"/>
      <c r="D84" s="2"/>
      <c r="E84" s="2"/>
      <c r="F84" s="231"/>
    </row>
    <row r="85" spans="1:6" ht="19.95" customHeight="1" x14ac:dyDescent="0.3">
      <c r="A85" s="342" t="s">
        <v>440</v>
      </c>
      <c r="B85" s="295"/>
      <c r="C85" s="295"/>
      <c r="D85" s="295"/>
      <c r="E85" s="295"/>
      <c r="F85" s="296"/>
    </row>
    <row r="86" spans="1:6" x14ac:dyDescent="0.3">
      <c r="A86" s="7" t="s">
        <v>441</v>
      </c>
      <c r="B86" s="7" t="s">
        <v>2</v>
      </c>
      <c r="C86" s="7" t="s">
        <v>3</v>
      </c>
      <c r="D86" s="338" t="s">
        <v>353</v>
      </c>
      <c r="E86" s="304"/>
      <c r="F86" s="305"/>
    </row>
    <row r="87" spans="1:6" x14ac:dyDescent="0.3">
      <c r="A87" s="51" t="s">
        <v>442</v>
      </c>
      <c r="B87" s="268">
        <v>18.600000000000001</v>
      </c>
      <c r="C87" s="218" t="s">
        <v>443</v>
      </c>
      <c r="D87" s="336" t="s">
        <v>444</v>
      </c>
      <c r="E87" s="292"/>
      <c r="F87" s="337"/>
    </row>
    <row r="88" spans="1:6" x14ac:dyDescent="0.3">
      <c r="A88" s="51" t="s">
        <v>445</v>
      </c>
      <c r="B88" s="268">
        <v>22.5</v>
      </c>
      <c r="C88" s="218" t="s">
        <v>443</v>
      </c>
      <c r="D88" s="336" t="s">
        <v>446</v>
      </c>
      <c r="E88" s="292"/>
      <c r="F88" s="337"/>
    </row>
    <row r="89" spans="1:6" x14ac:dyDescent="0.3">
      <c r="A89" s="51" t="s">
        <v>447</v>
      </c>
      <c r="B89" s="269">
        <v>17.030999999999999</v>
      </c>
      <c r="C89" s="218" t="s">
        <v>448</v>
      </c>
      <c r="D89" s="336" t="s">
        <v>449</v>
      </c>
      <c r="E89" s="292"/>
      <c r="F89" s="337"/>
    </row>
    <row r="90" spans="1:6" x14ac:dyDescent="0.3">
      <c r="A90" s="51" t="s">
        <v>450</v>
      </c>
      <c r="B90" s="269">
        <v>0.17760000000000001</v>
      </c>
      <c r="C90" s="218" t="s">
        <v>34</v>
      </c>
    </row>
    <row r="91" spans="1:6" x14ac:dyDescent="0.3">
      <c r="A91" s="51" t="s">
        <v>451</v>
      </c>
      <c r="B91" s="269">
        <v>0.82240000000000002</v>
      </c>
      <c r="C91" s="218" t="s">
        <v>41</v>
      </c>
      <c r="D91" s="336" t="s">
        <v>452</v>
      </c>
      <c r="E91" s="292"/>
      <c r="F91" s="337"/>
    </row>
    <row r="92" spans="1:6" x14ac:dyDescent="0.3">
      <c r="A92" s="51" t="s">
        <v>453</v>
      </c>
      <c r="B92" s="269">
        <v>0.52449999999999997</v>
      </c>
      <c r="C92" s="218" t="s">
        <v>454</v>
      </c>
      <c r="D92" s="336" t="s">
        <v>455</v>
      </c>
      <c r="E92" s="292"/>
      <c r="F92" s="337"/>
    </row>
    <row r="93" spans="1:6" x14ac:dyDescent="0.3">
      <c r="A93" s="2"/>
      <c r="B93" s="231"/>
      <c r="C93" s="2"/>
      <c r="D93" s="2"/>
      <c r="E93" s="2"/>
      <c r="F93" s="231"/>
    </row>
    <row r="94" spans="1:6" ht="19.95" customHeight="1" x14ac:dyDescent="0.3">
      <c r="A94" s="342" t="s">
        <v>456</v>
      </c>
      <c r="B94" s="295"/>
      <c r="C94" s="295"/>
      <c r="D94" s="295"/>
      <c r="E94" s="295"/>
      <c r="F94" s="296"/>
    </row>
    <row r="95" spans="1:6" x14ac:dyDescent="0.3">
      <c r="A95" s="22" t="s">
        <v>1</v>
      </c>
      <c r="B95" s="22" t="s">
        <v>2</v>
      </c>
      <c r="C95" s="22" t="s">
        <v>3</v>
      </c>
      <c r="D95" s="338" t="s">
        <v>353</v>
      </c>
      <c r="E95" s="304"/>
      <c r="F95" s="305"/>
    </row>
    <row r="96" spans="1:6" x14ac:dyDescent="0.3">
      <c r="A96" s="23" t="s">
        <v>457</v>
      </c>
      <c r="B96" s="270">
        <v>0.11</v>
      </c>
      <c r="C96" s="218" t="s">
        <v>458</v>
      </c>
      <c r="D96" s="336" t="s">
        <v>459</v>
      </c>
      <c r="E96" s="292"/>
      <c r="F96" s="337"/>
    </row>
    <row r="97" spans="1:6" x14ac:dyDescent="0.3">
      <c r="A97" s="23" t="s">
        <v>460</v>
      </c>
      <c r="B97" s="271" t="s">
        <v>461</v>
      </c>
      <c r="C97" s="218" t="s">
        <v>458</v>
      </c>
      <c r="D97" s="336" t="s">
        <v>462</v>
      </c>
      <c r="E97" s="292"/>
      <c r="F97" s="337"/>
    </row>
    <row r="98" spans="1:6" x14ac:dyDescent="0.3">
      <c r="A98" s="2"/>
      <c r="B98" s="231"/>
      <c r="C98" s="2"/>
      <c r="D98" s="2"/>
      <c r="E98" s="2"/>
      <c r="F98" s="231"/>
    </row>
    <row r="99" spans="1:6" ht="19.95" customHeight="1" x14ac:dyDescent="0.3">
      <c r="A99" s="342" t="s">
        <v>463</v>
      </c>
      <c r="B99" s="295"/>
      <c r="C99" s="295"/>
      <c r="D99" s="295"/>
      <c r="E99" s="295"/>
      <c r="F99" s="296"/>
    </row>
    <row r="100" spans="1:6" x14ac:dyDescent="0.3">
      <c r="A100" s="22" t="s">
        <v>464</v>
      </c>
      <c r="B100" s="22" t="s">
        <v>465</v>
      </c>
      <c r="C100" s="22" t="s">
        <v>3</v>
      </c>
      <c r="D100" s="338" t="s">
        <v>353</v>
      </c>
      <c r="E100" s="304"/>
      <c r="F100" s="305"/>
    </row>
    <row r="101" spans="1:6" x14ac:dyDescent="0.3">
      <c r="A101" s="23" t="s">
        <v>466</v>
      </c>
      <c r="B101" s="271" t="s">
        <v>467</v>
      </c>
      <c r="C101" s="218" t="s">
        <v>218</v>
      </c>
      <c r="D101" s="336" t="s">
        <v>468</v>
      </c>
      <c r="E101" s="292"/>
      <c r="F101" s="337"/>
    </row>
    <row r="102" spans="1:6" x14ac:dyDescent="0.3">
      <c r="A102" s="23" t="s">
        <v>469</v>
      </c>
      <c r="B102" s="271" t="s">
        <v>470</v>
      </c>
      <c r="C102" s="218" t="s">
        <v>218</v>
      </c>
      <c r="D102" s="336" t="s">
        <v>471</v>
      </c>
      <c r="E102" s="292"/>
      <c r="F102" s="337"/>
    </row>
    <row r="103" spans="1:6" x14ac:dyDescent="0.3">
      <c r="A103" s="23" t="s">
        <v>472</v>
      </c>
      <c r="B103" s="271" t="s">
        <v>473</v>
      </c>
      <c r="C103" s="218" t="s">
        <v>218</v>
      </c>
      <c r="D103" s="336" t="s">
        <v>471</v>
      </c>
      <c r="E103" s="292"/>
      <c r="F103" s="337"/>
    </row>
    <row r="104" spans="1:6" x14ac:dyDescent="0.3">
      <c r="A104" s="2"/>
      <c r="B104" s="231"/>
      <c r="C104" s="2"/>
      <c r="D104" s="2"/>
      <c r="E104" s="2"/>
      <c r="F104" s="231"/>
    </row>
    <row r="105" spans="1:6" ht="19.95" customHeight="1" x14ac:dyDescent="0.3">
      <c r="A105" s="342" t="s">
        <v>474</v>
      </c>
      <c r="B105" s="295"/>
      <c r="C105" s="295"/>
      <c r="D105" s="295"/>
      <c r="E105" s="295"/>
      <c r="F105" s="296"/>
    </row>
    <row r="106" spans="1:6" ht="26.4" customHeight="1" x14ac:dyDescent="0.3">
      <c r="A106" s="7" t="s">
        <v>99</v>
      </c>
      <c r="B106" s="272" t="s">
        <v>475</v>
      </c>
      <c r="C106" s="273" t="s">
        <v>476</v>
      </c>
      <c r="D106" s="344" t="s">
        <v>353</v>
      </c>
      <c r="E106" s="292"/>
      <c r="F106" s="345"/>
    </row>
    <row r="107" spans="1:6" x14ac:dyDescent="0.3">
      <c r="A107" s="274" t="s">
        <v>18</v>
      </c>
      <c r="B107" s="275"/>
      <c r="C107" s="276"/>
      <c r="D107" s="335" t="s">
        <v>354</v>
      </c>
      <c r="E107" s="292"/>
      <c r="F107" s="293"/>
    </row>
    <row r="108" spans="1:6" ht="22.8" customHeight="1" x14ac:dyDescent="0.3">
      <c r="A108" s="89" t="s">
        <v>477</v>
      </c>
      <c r="B108" s="275" t="s">
        <v>478</v>
      </c>
      <c r="C108" s="277">
        <v>0.01</v>
      </c>
      <c r="D108" s="335" t="s">
        <v>479</v>
      </c>
      <c r="E108" s="292"/>
      <c r="F108" s="293"/>
    </row>
    <row r="109" spans="1:6" x14ac:dyDescent="0.3">
      <c r="A109" s="89" t="s">
        <v>480</v>
      </c>
      <c r="B109" s="275" t="s">
        <v>481</v>
      </c>
      <c r="C109" s="277">
        <v>5.0000000000000001E-3</v>
      </c>
      <c r="D109" s="335" t="s">
        <v>482</v>
      </c>
      <c r="E109" s="292"/>
      <c r="F109" s="293"/>
    </row>
    <row r="110" spans="1:6" x14ac:dyDescent="0.3">
      <c r="A110" s="89" t="s">
        <v>483</v>
      </c>
      <c r="B110" s="275">
        <v>0</v>
      </c>
      <c r="C110" s="277">
        <v>0</v>
      </c>
      <c r="D110" s="335" t="s">
        <v>484</v>
      </c>
      <c r="E110" s="292"/>
      <c r="F110" s="293"/>
    </row>
    <row r="111" spans="1:6" x14ac:dyDescent="0.3">
      <c r="A111" s="89" t="s">
        <v>485</v>
      </c>
      <c r="B111" s="275" t="s">
        <v>486</v>
      </c>
      <c r="C111" s="277">
        <v>8.0000000000000002E-3</v>
      </c>
      <c r="D111" s="335" t="s">
        <v>412</v>
      </c>
      <c r="E111" s="292"/>
      <c r="F111" s="293"/>
    </row>
    <row r="112" spans="1:6" x14ac:dyDescent="0.3">
      <c r="A112" s="274" t="s">
        <v>371</v>
      </c>
      <c r="B112" s="275"/>
      <c r="C112" s="276"/>
      <c r="D112" s="335" t="s">
        <v>354</v>
      </c>
      <c r="E112" s="292"/>
      <c r="F112" s="293"/>
    </row>
    <row r="113" spans="1:6" x14ac:dyDescent="0.3">
      <c r="A113" s="2"/>
      <c r="B113" s="2"/>
      <c r="C113" s="2"/>
      <c r="D113" s="2"/>
      <c r="E113" s="2"/>
      <c r="F113" s="2"/>
    </row>
    <row r="114" spans="1:6" ht="19.95" customHeight="1" x14ac:dyDescent="0.3">
      <c r="A114" s="342" t="s">
        <v>487</v>
      </c>
      <c r="B114" s="295"/>
      <c r="C114" s="295"/>
      <c r="D114" s="295"/>
      <c r="E114" s="295"/>
      <c r="F114" s="296"/>
    </row>
    <row r="115" spans="1:6" x14ac:dyDescent="0.3">
      <c r="A115" s="278" t="s">
        <v>488</v>
      </c>
      <c r="B115" s="278" t="s">
        <v>489</v>
      </c>
      <c r="C115" s="278" t="s">
        <v>490</v>
      </c>
      <c r="D115" s="278" t="s">
        <v>491</v>
      </c>
      <c r="E115" s="278" t="s">
        <v>492</v>
      </c>
      <c r="F115" s="278" t="s">
        <v>323</v>
      </c>
    </row>
    <row r="116" spans="1:6" ht="26.4" customHeight="1" x14ac:dyDescent="0.3">
      <c r="A116" s="279" t="s">
        <v>493</v>
      </c>
      <c r="B116" s="280" t="s">
        <v>494</v>
      </c>
      <c r="C116" s="279" t="s">
        <v>495</v>
      </c>
      <c r="D116" s="279" t="s">
        <v>496</v>
      </c>
      <c r="E116" s="279" t="s">
        <v>497</v>
      </c>
      <c r="F116" s="281" t="s">
        <v>335</v>
      </c>
    </row>
    <row r="117" spans="1:6" ht="26.4" customHeight="1" x14ac:dyDescent="0.3">
      <c r="A117" s="279" t="s">
        <v>498</v>
      </c>
      <c r="B117" s="280" t="s">
        <v>499</v>
      </c>
      <c r="C117" s="279" t="s">
        <v>500</v>
      </c>
      <c r="D117" s="279" t="s">
        <v>496</v>
      </c>
      <c r="E117" s="279" t="s">
        <v>497</v>
      </c>
      <c r="F117" s="281" t="s">
        <v>501</v>
      </c>
    </row>
    <row r="118" spans="1:6" ht="26.4" customHeight="1" x14ac:dyDescent="0.3">
      <c r="A118" s="279" t="s">
        <v>502</v>
      </c>
      <c r="B118" s="280" t="s">
        <v>503</v>
      </c>
      <c r="C118" s="279" t="s">
        <v>504</v>
      </c>
      <c r="D118" s="279" t="s">
        <v>505</v>
      </c>
      <c r="E118" s="279" t="s">
        <v>497</v>
      </c>
      <c r="F118" s="281" t="s">
        <v>377</v>
      </c>
    </row>
    <row r="119" spans="1:6" ht="26.4" customHeight="1" x14ac:dyDescent="0.3">
      <c r="A119" s="279" t="s">
        <v>506</v>
      </c>
      <c r="B119" s="280" t="s">
        <v>507</v>
      </c>
      <c r="C119" s="279" t="s">
        <v>508</v>
      </c>
      <c r="D119" s="279" t="s">
        <v>509</v>
      </c>
      <c r="E119" s="279" t="s">
        <v>497</v>
      </c>
      <c r="F119" s="281" t="s">
        <v>510</v>
      </c>
    </row>
    <row r="120" spans="1:6" ht="39.6" customHeight="1" x14ac:dyDescent="0.3">
      <c r="A120" s="279" t="s">
        <v>511</v>
      </c>
      <c r="B120" s="280" t="s">
        <v>512</v>
      </c>
      <c r="C120" s="279" t="s">
        <v>513</v>
      </c>
      <c r="D120" s="279" t="s">
        <v>509</v>
      </c>
      <c r="E120" s="279" t="s">
        <v>514</v>
      </c>
      <c r="F120" s="281" t="s">
        <v>515</v>
      </c>
    </row>
    <row r="121" spans="1:6" ht="39.6" customHeight="1" x14ac:dyDescent="0.3">
      <c r="A121" s="279" t="s">
        <v>516</v>
      </c>
      <c r="B121" s="280" t="s">
        <v>517</v>
      </c>
      <c r="C121" s="279" t="s">
        <v>518</v>
      </c>
      <c r="D121" s="279" t="s">
        <v>509</v>
      </c>
      <c r="E121" s="279" t="s">
        <v>514</v>
      </c>
      <c r="F121" s="281" t="s">
        <v>392</v>
      </c>
    </row>
    <row r="122" spans="1:6" ht="26.4" customHeight="1" x14ac:dyDescent="0.3">
      <c r="A122" s="279" t="s">
        <v>519</v>
      </c>
      <c r="B122" s="280" t="s">
        <v>520</v>
      </c>
      <c r="C122" s="279" t="s">
        <v>521</v>
      </c>
      <c r="D122" s="279" t="s">
        <v>509</v>
      </c>
      <c r="E122" s="279" t="s">
        <v>514</v>
      </c>
      <c r="F122" s="281" t="s">
        <v>392</v>
      </c>
    </row>
    <row r="123" spans="1:6" ht="26.4" customHeight="1" x14ac:dyDescent="0.3">
      <c r="A123" s="279" t="s">
        <v>522</v>
      </c>
      <c r="B123" s="280" t="s">
        <v>520</v>
      </c>
      <c r="C123" s="279" t="s">
        <v>224</v>
      </c>
      <c r="D123" s="279" t="s">
        <v>509</v>
      </c>
      <c r="E123" s="279" t="s">
        <v>514</v>
      </c>
      <c r="F123" s="281" t="s">
        <v>392</v>
      </c>
    </row>
    <row r="124" spans="1:6" ht="26.4" customHeight="1" x14ac:dyDescent="0.3">
      <c r="A124" s="279" t="s">
        <v>523</v>
      </c>
      <c r="B124" s="280" t="s">
        <v>524</v>
      </c>
      <c r="C124" s="279" t="s">
        <v>525</v>
      </c>
      <c r="D124" s="279" t="s">
        <v>509</v>
      </c>
      <c r="E124" s="279" t="s">
        <v>514</v>
      </c>
      <c r="F124" s="281" t="s">
        <v>515</v>
      </c>
    </row>
    <row r="125" spans="1:6" ht="26.4" customHeight="1" x14ac:dyDescent="0.3">
      <c r="A125" s="279" t="s">
        <v>526</v>
      </c>
      <c r="B125" s="280" t="s">
        <v>524</v>
      </c>
      <c r="C125" s="279" t="s">
        <v>527</v>
      </c>
      <c r="D125" s="279" t="s">
        <v>509</v>
      </c>
      <c r="E125" s="279" t="s">
        <v>514</v>
      </c>
      <c r="F125" s="281" t="s">
        <v>515</v>
      </c>
    </row>
    <row r="126" spans="1:6" ht="26.4" customHeight="1" x14ac:dyDescent="0.3">
      <c r="A126" s="279" t="s">
        <v>528</v>
      </c>
      <c r="B126" s="280" t="s">
        <v>529</v>
      </c>
      <c r="C126" s="279" t="s">
        <v>530</v>
      </c>
      <c r="D126" s="279" t="s">
        <v>509</v>
      </c>
      <c r="E126" s="279" t="s">
        <v>531</v>
      </c>
      <c r="F126" s="281" t="s">
        <v>532</v>
      </c>
    </row>
    <row r="127" spans="1:6" ht="39.6" customHeight="1" x14ac:dyDescent="0.3">
      <c r="A127" s="279" t="s">
        <v>533</v>
      </c>
      <c r="B127" s="280" t="s">
        <v>534</v>
      </c>
      <c r="C127" s="279" t="s">
        <v>535</v>
      </c>
      <c r="D127" s="279" t="s">
        <v>536</v>
      </c>
      <c r="E127" s="279" t="s">
        <v>514</v>
      </c>
      <c r="F127" s="281" t="s">
        <v>537</v>
      </c>
    </row>
    <row r="128" spans="1:6" ht="26.4" customHeight="1" x14ac:dyDescent="0.3">
      <c r="A128" s="279" t="s">
        <v>538</v>
      </c>
      <c r="B128" s="280" t="s">
        <v>539</v>
      </c>
      <c r="C128" s="279" t="s">
        <v>540</v>
      </c>
      <c r="D128" s="279" t="s">
        <v>536</v>
      </c>
      <c r="E128" s="279" t="s">
        <v>514</v>
      </c>
      <c r="F128" s="281" t="s">
        <v>541</v>
      </c>
    </row>
    <row r="129" spans="1:6" ht="26.4" customHeight="1" x14ac:dyDescent="0.3">
      <c r="A129" s="279" t="s">
        <v>542</v>
      </c>
      <c r="B129" s="280" t="s">
        <v>543</v>
      </c>
      <c r="C129" s="279" t="s">
        <v>544</v>
      </c>
      <c r="D129" s="279" t="s">
        <v>536</v>
      </c>
      <c r="E129" s="279" t="s">
        <v>514</v>
      </c>
      <c r="F129" s="281" t="s">
        <v>545</v>
      </c>
    </row>
    <row r="130" spans="1:6" ht="26.4" customHeight="1" x14ac:dyDescent="0.3">
      <c r="A130" s="279" t="s">
        <v>546</v>
      </c>
      <c r="B130" s="280" t="s">
        <v>547</v>
      </c>
      <c r="C130" s="279" t="s">
        <v>548</v>
      </c>
      <c r="D130" s="279" t="s">
        <v>549</v>
      </c>
      <c r="E130" s="279" t="s">
        <v>497</v>
      </c>
      <c r="F130" s="281" t="s">
        <v>550</v>
      </c>
    </row>
    <row r="131" spans="1:6" ht="26.4" customHeight="1" x14ac:dyDescent="0.3">
      <c r="A131" s="279" t="s">
        <v>551</v>
      </c>
      <c r="B131" s="280" t="s">
        <v>552</v>
      </c>
      <c r="C131" s="279" t="s">
        <v>553</v>
      </c>
      <c r="D131" s="279" t="s">
        <v>549</v>
      </c>
      <c r="E131" s="279" t="s">
        <v>497</v>
      </c>
      <c r="F131" s="281" t="s">
        <v>554</v>
      </c>
    </row>
    <row r="132" spans="1:6" ht="26.4" customHeight="1" x14ac:dyDescent="0.3">
      <c r="A132" s="279" t="s">
        <v>555</v>
      </c>
      <c r="B132" s="280" t="s">
        <v>556</v>
      </c>
      <c r="C132" s="279" t="s">
        <v>557</v>
      </c>
      <c r="D132" s="279" t="s">
        <v>558</v>
      </c>
      <c r="E132" s="279" t="s">
        <v>559</v>
      </c>
      <c r="F132" s="281" t="s">
        <v>560</v>
      </c>
    </row>
    <row r="133" spans="1:6" ht="26.4" customHeight="1" x14ac:dyDescent="0.3">
      <c r="A133" s="279" t="s">
        <v>561</v>
      </c>
      <c r="B133" s="280" t="s">
        <v>562</v>
      </c>
      <c r="C133" s="279" t="s">
        <v>563</v>
      </c>
      <c r="D133" s="279" t="s">
        <v>564</v>
      </c>
      <c r="E133" s="279" t="s">
        <v>559</v>
      </c>
      <c r="F133" s="281" t="s">
        <v>342</v>
      </c>
    </row>
    <row r="134" spans="1:6" ht="26.4" customHeight="1" x14ac:dyDescent="0.3">
      <c r="A134" s="279" t="s">
        <v>565</v>
      </c>
      <c r="B134" s="280" t="s">
        <v>562</v>
      </c>
      <c r="C134" s="279" t="s">
        <v>566</v>
      </c>
      <c r="D134" s="279" t="s">
        <v>564</v>
      </c>
      <c r="E134" s="279" t="s">
        <v>567</v>
      </c>
      <c r="F134" s="281" t="s">
        <v>342</v>
      </c>
    </row>
    <row r="135" spans="1:6" ht="26.4" customHeight="1" x14ac:dyDescent="0.3">
      <c r="A135" s="279" t="s">
        <v>568</v>
      </c>
      <c r="B135" s="280" t="s">
        <v>345</v>
      </c>
      <c r="C135" s="279" t="s">
        <v>569</v>
      </c>
      <c r="D135" s="279" t="s">
        <v>344</v>
      </c>
      <c r="E135" s="279" t="s">
        <v>497</v>
      </c>
      <c r="F135" s="281" t="s">
        <v>570</v>
      </c>
    </row>
  </sheetData>
  <sheetProtection sheet="1" formatCells="0" formatColumns="0" formatRows="0" sort="0" autoFilter="0" pivotTables="0"/>
  <mergeCells count="41">
    <mergeCell ref="A68:F68"/>
    <mergeCell ref="A99:F99"/>
    <mergeCell ref="C69:D69"/>
    <mergeCell ref="D97:F97"/>
    <mergeCell ref="D103:F103"/>
    <mergeCell ref="D106:F106"/>
    <mergeCell ref="A85:F85"/>
    <mergeCell ref="A114:F114"/>
    <mergeCell ref="C78:F78"/>
    <mergeCell ref="A59:F59"/>
    <mergeCell ref="D109:F109"/>
    <mergeCell ref="C80:F80"/>
    <mergeCell ref="A94:F94"/>
    <mergeCell ref="D112:F112"/>
    <mergeCell ref="D102:F102"/>
    <mergeCell ref="C83:F83"/>
    <mergeCell ref="D92:F92"/>
    <mergeCell ref="D89:F89"/>
    <mergeCell ref="C79:F79"/>
    <mergeCell ref="D110:F110"/>
    <mergeCell ref="D88:F88"/>
    <mergeCell ref="D107:F107"/>
    <mergeCell ref="A75:F75"/>
    <mergeCell ref="C82:F82"/>
    <mergeCell ref="A105:F105"/>
    <mergeCell ref="A1:F1"/>
    <mergeCell ref="D111:F111"/>
    <mergeCell ref="D96:F96"/>
    <mergeCell ref="D101:F101"/>
    <mergeCell ref="D108:F108"/>
    <mergeCell ref="D86:F86"/>
    <mergeCell ref="D95:F95"/>
    <mergeCell ref="A25:F25"/>
    <mergeCell ref="D100:F100"/>
    <mergeCell ref="A77:F77"/>
    <mergeCell ref="A12:F12"/>
    <mergeCell ref="C81:F81"/>
    <mergeCell ref="D91:F91"/>
    <mergeCell ref="A3:F3"/>
    <mergeCell ref="D87:F87"/>
    <mergeCell ref="A37:F3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Project Data</vt:lpstr>
      <vt:lpstr>EU RFNBO</vt:lpstr>
      <vt:lpstr>EU CBAM</vt:lpstr>
      <vt:lpstr>IMO</vt:lpstr>
      <vt:lpstr>Results</vt:lpstr>
      <vt:lpstr>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Sven Feige</cp:lastModifiedBy>
  <dcterms:created xsi:type="dcterms:W3CDTF">2026-08-03T06:36:48Z</dcterms:created>
  <dcterms:modified xsi:type="dcterms:W3CDTF">2026-11-03T12:18:01Z</dcterms:modified>
</cp:coreProperties>
</file>