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SF\Desktop\PtX_local\Aktuelle Tools\Finale\"/>
    </mc:Choice>
  </mc:AlternateContent>
  <xr:revisionPtr revIDLastSave="0" documentId="13_ncr:1_{2BAC26C2-90BC-4DA1-AE14-796FB4839E1F}" xr6:coauthVersionLast="47" xr6:coauthVersionMax="47" xr10:uidLastSave="{00000000-0000-0000-0000-000000000000}"/>
  <bookViews>
    <workbookView xWindow="28680" yWindow="-120" windowWidth="29040" windowHeight="17520" xr2:uid="{00000000-000D-0000-FFFF-FFFF00000000}"/>
  </bookViews>
  <sheets>
    <sheet name="Instructions" sheetId="1" r:id="rId1"/>
    <sheet name="Project Data" sheetId="2" r:id="rId2"/>
    <sheet name="EU RFNBO" sheetId="3" r:id="rId3"/>
    <sheet name="IMO" sheetId="4" r:id="rId4"/>
    <sheet name="CORSIA" sheetId="5" r:id="rId5"/>
    <sheet name="Results" sheetId="6" r:id="rId6"/>
    <sheet name="Emission Factor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6" l="1"/>
  <c r="L42" i="3"/>
  <c r="I41" i="3"/>
  <c r="I40" i="3"/>
  <c r="I42" i="4"/>
  <c r="I41" i="4"/>
  <c r="L41" i="4" s="1"/>
  <c r="L36" i="5"/>
  <c r="A8" i="4"/>
  <c r="A8" i="5"/>
  <c r="E22" i="5"/>
  <c r="E21" i="5"/>
  <c r="E20" i="5"/>
  <c r="E22" i="4"/>
  <c r="E21" i="4"/>
  <c r="E20" i="4"/>
  <c r="C14" i="2"/>
  <c r="G40" i="5"/>
  <c r="I40" i="5" s="1"/>
  <c r="L40" i="5" s="1"/>
  <c r="G39" i="5"/>
  <c r="I39" i="5" s="1"/>
  <c r="L39" i="5" s="1"/>
  <c r="E35" i="5"/>
  <c r="E34" i="5"/>
  <c r="E33" i="5"/>
  <c r="E32" i="5"/>
  <c r="E31" i="5"/>
  <c r="E30" i="5"/>
  <c r="E29" i="5"/>
  <c r="E28" i="5"/>
  <c r="E27" i="5"/>
  <c r="E26" i="5"/>
  <c r="E25" i="5"/>
  <c r="E24" i="5"/>
  <c r="E23" i="5"/>
  <c r="G19" i="5"/>
  <c r="I19" i="5" s="1"/>
  <c r="E19" i="5"/>
  <c r="G18" i="5"/>
  <c r="I18" i="5" s="1"/>
  <c r="G17" i="5"/>
  <c r="I17" i="5" s="1"/>
  <c r="E17" i="5"/>
  <c r="G19" i="4"/>
  <c r="I19" i="4" s="1"/>
  <c r="E19" i="4"/>
  <c r="G18" i="4"/>
  <c r="I18" i="4" s="1"/>
  <c r="G17" i="4"/>
  <c r="I17" i="4" s="1"/>
  <c r="E17" i="4"/>
  <c r="B10" i="4"/>
  <c r="I38" i="5"/>
  <c r="L38" i="5" s="1"/>
  <c r="D35" i="5"/>
  <c r="G35" i="5" s="1"/>
  <c r="I35" i="5" s="1"/>
  <c r="D34" i="5"/>
  <c r="G34" i="5" s="1"/>
  <c r="I34" i="5" s="1"/>
  <c r="D33" i="5"/>
  <c r="G33" i="5" s="1"/>
  <c r="I33" i="5" s="1"/>
  <c r="D32" i="5"/>
  <c r="G32" i="5" s="1"/>
  <c r="I32" i="5" s="1"/>
  <c r="D31" i="5"/>
  <c r="G31" i="5" s="1"/>
  <c r="I31" i="5" s="1"/>
  <c r="D30" i="5"/>
  <c r="G30" i="5" s="1"/>
  <c r="I30" i="5" s="1"/>
  <c r="D29" i="5"/>
  <c r="G29" i="5" s="1"/>
  <c r="I29" i="5" s="1"/>
  <c r="D28" i="5"/>
  <c r="G28" i="5" s="1"/>
  <c r="I28" i="5" s="1"/>
  <c r="D27" i="5"/>
  <c r="G27" i="5" s="1"/>
  <c r="I27" i="5" s="1"/>
  <c r="D26" i="5"/>
  <c r="G26" i="5" s="1"/>
  <c r="I26" i="5" s="1"/>
  <c r="D25" i="5"/>
  <c r="G25" i="5" s="1"/>
  <c r="I25" i="5" s="1"/>
  <c r="D24" i="5"/>
  <c r="G24" i="5" s="1"/>
  <c r="I24" i="5" s="1"/>
  <c r="D23" i="5"/>
  <c r="G23" i="5" s="1"/>
  <c r="I23" i="5" s="1"/>
  <c r="I22" i="5"/>
  <c r="D22" i="5"/>
  <c r="I21" i="5"/>
  <c r="D21" i="5"/>
  <c r="I20" i="5"/>
  <c r="D20" i="5"/>
  <c r="E17" i="3"/>
  <c r="B10" i="5"/>
  <c r="L47" i="4"/>
  <c r="B4" i="6"/>
  <c r="E16" i="3" l="1"/>
  <c r="E18" i="5"/>
  <c r="E18" i="4"/>
  <c r="L42" i="4"/>
  <c r="I40" i="4"/>
  <c r="L40" i="4" s="1"/>
  <c r="L40" i="3"/>
  <c r="L37" i="4"/>
  <c r="D21" i="4"/>
  <c r="D22" i="4"/>
  <c r="D20" i="4"/>
  <c r="I22" i="4"/>
  <c r="I21" i="4"/>
  <c r="I20" i="4"/>
  <c r="L43" i="4" l="1"/>
  <c r="B8" i="3" l="1"/>
  <c r="C123" i="7"/>
  <c r="B123" i="7"/>
  <c r="L41" i="3" l="1"/>
  <c r="L38" i="3" l="1"/>
  <c r="E19" i="3" l="1"/>
  <c r="E20" i="3"/>
  <c r="E18" i="3"/>
  <c r="D19" i="3"/>
  <c r="D20" i="3"/>
  <c r="D18" i="3"/>
  <c r="G17" i="3"/>
  <c r="G16" i="3"/>
  <c r="E15" i="3"/>
  <c r="B35" i="2" l="1"/>
  <c r="D3" i="6" l="1"/>
  <c r="C3" i="6"/>
  <c r="B2" i="6"/>
  <c r="L45" i="5"/>
  <c r="B11" i="5"/>
  <c r="E35" i="4"/>
  <c r="D35" i="4"/>
  <c r="G35" i="4" s="1"/>
  <c r="I35" i="4" s="1"/>
  <c r="E34" i="4"/>
  <c r="D34" i="4"/>
  <c r="G34" i="4" s="1"/>
  <c r="I34" i="4" s="1"/>
  <c r="E33" i="4"/>
  <c r="D33" i="4"/>
  <c r="G33" i="4" s="1"/>
  <c r="I33" i="4" s="1"/>
  <c r="E32" i="4"/>
  <c r="D32" i="4"/>
  <c r="G32" i="4" s="1"/>
  <c r="I32" i="4" s="1"/>
  <c r="E31" i="4"/>
  <c r="D31" i="4"/>
  <c r="G31" i="4" s="1"/>
  <c r="I31" i="4" s="1"/>
  <c r="E30" i="4"/>
  <c r="D30" i="4"/>
  <c r="G30" i="4" s="1"/>
  <c r="I30" i="4" s="1"/>
  <c r="E29" i="4"/>
  <c r="D29" i="4"/>
  <c r="G29" i="4" s="1"/>
  <c r="I29" i="4" s="1"/>
  <c r="E28" i="4"/>
  <c r="D28" i="4"/>
  <c r="G28" i="4" s="1"/>
  <c r="I28" i="4" s="1"/>
  <c r="E27" i="4"/>
  <c r="D27" i="4"/>
  <c r="G27" i="4" s="1"/>
  <c r="I27" i="4" s="1"/>
  <c r="E26" i="4"/>
  <c r="D26" i="4"/>
  <c r="G26" i="4" s="1"/>
  <c r="I26" i="4" s="1"/>
  <c r="E25" i="4"/>
  <c r="D25" i="4"/>
  <c r="G25" i="4" s="1"/>
  <c r="I25" i="4" s="1"/>
  <c r="E24" i="4"/>
  <c r="D24" i="4"/>
  <c r="G24" i="4" s="1"/>
  <c r="I24" i="4" s="1"/>
  <c r="E23" i="4"/>
  <c r="D23" i="4"/>
  <c r="G23" i="4" s="1"/>
  <c r="I23" i="4" s="1"/>
  <c r="B11" i="4"/>
  <c r="I39" i="3"/>
  <c r="L39" i="3" s="1"/>
  <c r="E37" i="3"/>
  <c r="D37" i="3"/>
  <c r="G37" i="3" s="1"/>
  <c r="I37" i="3" s="1"/>
  <c r="E36" i="3"/>
  <c r="D36" i="3"/>
  <c r="G36" i="3" s="1"/>
  <c r="I36" i="3" s="1"/>
  <c r="E35" i="3"/>
  <c r="D35" i="3"/>
  <c r="G35" i="3" s="1"/>
  <c r="I35" i="3" s="1"/>
  <c r="E34" i="3"/>
  <c r="D34" i="3"/>
  <c r="G34" i="3" s="1"/>
  <c r="E29" i="3"/>
  <c r="D29" i="3"/>
  <c r="G29" i="3" s="1"/>
  <c r="I29" i="3" s="1"/>
  <c r="E28" i="3"/>
  <c r="D28" i="3"/>
  <c r="G28" i="3" s="1"/>
  <c r="I28" i="3" s="1"/>
  <c r="E27" i="3"/>
  <c r="D27" i="3"/>
  <c r="G27" i="3" s="1"/>
  <c r="I27" i="3" s="1"/>
  <c r="E26" i="3"/>
  <c r="D26" i="3"/>
  <c r="G26" i="3" s="1"/>
  <c r="I26" i="3" s="1"/>
  <c r="E25" i="3"/>
  <c r="D25" i="3"/>
  <c r="G25" i="3" s="1"/>
  <c r="I25" i="3" s="1"/>
  <c r="E24" i="3"/>
  <c r="D24" i="3"/>
  <c r="G24" i="3" s="1"/>
  <c r="I24" i="3" s="1"/>
  <c r="E23" i="3"/>
  <c r="D23" i="3"/>
  <c r="G23" i="3" s="1"/>
  <c r="I23" i="3" s="1"/>
  <c r="E22" i="3"/>
  <c r="D22" i="3"/>
  <c r="G22" i="3" s="1"/>
  <c r="I22" i="3" s="1"/>
  <c r="E21" i="3"/>
  <c r="D21" i="3"/>
  <c r="G21" i="3" s="1"/>
  <c r="I21" i="3" s="1"/>
  <c r="I20" i="3"/>
  <c r="I19" i="3"/>
  <c r="I18" i="3"/>
  <c r="I16" i="3"/>
  <c r="G15" i="3"/>
  <c r="I15" i="3" s="1"/>
  <c r="B9" i="3"/>
  <c r="D2" i="6"/>
  <c r="C2" i="6"/>
  <c r="C11" i="6" l="1"/>
  <c r="B12" i="5"/>
  <c r="B10" i="3"/>
  <c r="I34" i="3"/>
  <c r="I17" i="3"/>
  <c r="B12" i="4"/>
  <c r="L19" i="5" l="1"/>
  <c r="L22" i="5"/>
  <c r="L21" i="5"/>
  <c r="L20" i="5"/>
  <c r="L15" i="3"/>
  <c r="L21" i="4"/>
  <c r="L22" i="4"/>
  <c r="L20" i="4"/>
  <c r="L21" i="3"/>
  <c r="L34" i="3"/>
  <c r="L18" i="5"/>
  <c r="L17" i="5"/>
  <c r="L19" i="4"/>
  <c r="L17" i="4"/>
  <c r="L18" i="4"/>
  <c r="L33" i="5"/>
  <c r="L31" i="5"/>
  <c r="L24" i="5"/>
  <c r="L34" i="5"/>
  <c r="L26" i="5"/>
  <c r="L35" i="5"/>
  <c r="L28" i="5"/>
  <c r="L30" i="5"/>
  <c r="L32" i="5"/>
  <c r="L25" i="5"/>
  <c r="L23" i="5"/>
  <c r="L29" i="5"/>
  <c r="L27" i="5"/>
  <c r="L41" i="5"/>
  <c r="L27" i="4"/>
  <c r="L38" i="4"/>
  <c r="L24" i="4"/>
  <c r="L26" i="4"/>
  <c r="L32" i="4"/>
  <c r="L25" i="4"/>
  <c r="L23" i="4"/>
  <c r="L36" i="4"/>
  <c r="L28" i="4"/>
  <c r="L35" i="3"/>
  <c r="L18" i="3"/>
  <c r="L16" i="3"/>
  <c r="L32" i="3"/>
  <c r="L29" i="3"/>
  <c r="L26" i="3"/>
  <c r="L20" i="3"/>
  <c r="L19" i="3"/>
  <c r="L27" i="3"/>
  <c r="L24" i="3"/>
  <c r="L31" i="3"/>
  <c r="L36" i="3"/>
  <c r="L25" i="3"/>
  <c r="L23" i="3"/>
  <c r="L37" i="3"/>
  <c r="L28" i="3"/>
  <c r="L22" i="3"/>
  <c r="L17" i="3"/>
  <c r="L31" i="4"/>
  <c r="L33" i="4"/>
  <c r="L30" i="4"/>
  <c r="L34" i="4"/>
  <c r="L35" i="4"/>
  <c r="L29" i="4"/>
  <c r="L37" i="5" l="1"/>
  <c r="L43" i="5" s="1"/>
  <c r="D8" i="6" s="1"/>
  <c r="L39" i="4"/>
  <c r="L45" i="4" s="1"/>
  <c r="L30" i="3"/>
  <c r="L33" i="3" s="1"/>
  <c r="L44" i="3" s="1"/>
  <c r="L45" i="3" s="1"/>
  <c r="B7" i="6" s="1"/>
  <c r="L46" i="5" l="1"/>
  <c r="L48" i="4"/>
  <c r="C8" i="6"/>
  <c r="B8" i="6"/>
  <c r="L47" i="3"/>
  <c r="B9" i="6" s="1"/>
  <c r="L46" i="4"/>
  <c r="C7" i="6" s="1"/>
  <c r="L44" i="5"/>
  <c r="D7" i="6" s="1"/>
  <c r="L47" i="5" l="1"/>
  <c r="D11" i="6" s="1"/>
  <c r="D9" i="6"/>
  <c r="L48" i="3"/>
  <c r="B11" i="6" s="1"/>
</calcChain>
</file>

<file path=xl/sharedStrings.xml><?xml version="1.0" encoding="utf-8"?>
<sst xmlns="http://schemas.openxmlformats.org/spreadsheetml/2006/main" count="1330" uniqueCount="633">
  <si>
    <t>GHG Intensity Calculator for e-Fuels (e-Methanol + e-SAF)</t>
  </si>
  <si>
    <t>Digital tool for e-fuel project developers</t>
  </si>
  <si>
    <t>Purpose</t>
  </si>
  <si>
    <t>It implements three regulatory frameworks:</t>
  </si>
  <si>
    <t xml:space="preserve">   • EU — Renewable Fuels of Non-Biological Origin (RFNBO) per Commission Delegated Reg. (EU) 2023/1185 + 2023/1184 (parent Dir. (EU) 2018/2001 / 2023/2413). Well-to-wheel formula vs. 94 gCO₂eq/MJ fossil comparator with ≥ 70 % savings threshold. Applies to both products.</t>
  </si>
  <si>
    <t xml:space="preserve">   • IMO — GHG Fuel Intensity for marine fuels (MEPC.391(81) LCA Guidelines + draft revised MARPOL Annex VI, MEPC-ES.2-2). Well-to-wake gCO₂eq/MJ. Applies only when Product = e-Methanol (marine bunker fuel).</t>
  </si>
  <si>
    <t xml:space="preserve">   • ICAO CORSIA — Lifecycle GHG reduction for aviation fuels (CORSIA Doc 05 Sustainability Criteria + Doc 06 Default LCA + Doc 07 Actual LCA Methodology + CEF LCA V8). ≥ 10 % reduction vs. 89 gCO₂eq/MJ Jet-A baseline. Applies only when Product = e-SAF.</t>
  </si>
  <si>
    <t>How to Use</t>
  </si>
  <si>
    <t>Step 1: Go to the 'Project Data' sheet. Start with the Product dropdown (row 7) — choose 'e-Methanol' or 'e-SAF'. For e-SAF, also pick the Synthesis Route (row 8, FT or ATJ). Then fill all yellow-highlighted cells.</t>
  </si>
  <si>
    <t>Step 2: Check the 'EU RFNBO', 'IMO', and 'CORSIA' sheets for detailed calculation results. Sheets that do not apply to the selected product show a blanking banner at the top and zero out result cells (IMO blanks for e-SAF; CORSIA blanks for e-Methanol).</t>
  </si>
  <si>
    <t>Step 3: Review the 'Emission Factors' sheet as needed to see default factors used in the absence of project-specific information.</t>
  </si>
  <si>
    <t>Step 4: Use the 'Results' sheet to see outcomes side-by-side. Row 2 mirrors user-selected methodology inclusion; row 3 flags applicability to the chosen product (RfNBO=Yes for both; IMO=Yes only for MeOH; CORSIA=Yes only for SAF).</t>
  </si>
  <si>
    <t>Note: Cells with blue text on yellow background are user inputs. Cells with green text contain calculated values / cross-sheet formulas.</t>
  </si>
  <si>
    <t>GHG Intensity Thresholds</t>
  </si>
  <si>
    <t>EU RFNBO: ≥ 70 % GHG savings vs. fossil comparator 94 gCO₂eq/MJ → E ≤ 28.2 gCO₂eq/MJ. Mass-basis: e-Methanol ≤ 0.5612 kgCO₂eq/kg; e-SAF ≤ 1.2408 kgCO₂eq/kg.</t>
  </si>
  <si>
    <t>IMO: GHG Fuel Intensity trajectory (2028/2030/2035/2040 targets — per MEPC-ES.2-2 draft; TBC on publication). Ship-level metric — not a per-fuel pass/fail.</t>
  </si>
  <si>
    <t>ICAO CORSIA: ≥ 10 % lifecycle GHG reduction vs. 89 gCO₂eq/MJ Jet-A baseline → LCA ≤ 80.1 gCO₂eq/MJ ≈ 3.5244 kgCO₂eq/kg SAF. CO₂ source eligibility (Doc 05 §2.2) flagged separately from LCA score.</t>
  </si>
  <si>
    <t>Version &amp; Disclaimer</t>
  </si>
  <si>
    <t>This GHG calculation tool was developed by Perspectives Climate Research in the context of H2Uppp Programme of the German Federal Ministry of Economic Affairs and Energy. H2Uppp is implemented by GIZ. The opinions and recommendations expressed in this tool do not necessarily reflect the positions of the commissioning institutions or the implementing agency.</t>
  </si>
  <si>
    <t>For any questions regarding the tool, please contact H2Uppp@giz.de or info@perspectives.cc</t>
  </si>
  <si>
    <t>This tool was developed with support of AI tools (ClaudeAI, ChatGPT). AI contributed to the development process; all interpretations and conclusions remain the responsibility of the authors.</t>
  </si>
  <si>
    <t>GHG Intensity Calculator — Project Data (e-Fuels)</t>
  </si>
  <si>
    <t>Parameter</t>
  </si>
  <si>
    <t>Value</t>
  </si>
  <si>
    <t>Unit</t>
  </si>
  <si>
    <t>Type of input</t>
  </si>
  <si>
    <t>Data source / Note</t>
  </si>
  <si>
    <t>Additional information</t>
  </si>
  <si>
    <t>General Project Information</t>
  </si>
  <si>
    <t>Project Name</t>
  </si>
  <si>
    <t>—</t>
  </si>
  <si>
    <t>User</t>
  </si>
  <si>
    <t>Enter project name</t>
  </si>
  <si>
    <t>Project Location (Country)</t>
  </si>
  <si>
    <t>Country hosting the e-fuel plant (informational).</t>
  </si>
  <si>
    <t>Calendar Year of Assessment</t>
  </si>
  <si>
    <t>year</t>
  </si>
  <si>
    <t>Single calendar year for the assessment (e.g. 2026).</t>
  </si>
  <si>
    <t>Product</t>
  </si>
  <si>
    <t>Synthesis Route (SAF only)</t>
  </si>
  <si>
    <t>GWP Basis</t>
  </si>
  <si>
    <t>Include EU RFNBO</t>
  </si>
  <si>
    <t>Yes</t>
  </si>
  <si>
    <t>Yes/No — include this methodology in Results.</t>
  </si>
  <si>
    <t>Include IMO</t>
  </si>
  <si>
    <t>Calculated</t>
  </si>
  <si>
    <t>Include CORSIA</t>
  </si>
  <si>
    <t>Product Output</t>
  </si>
  <si>
    <t>Annual Fuel Output</t>
  </si>
  <si>
    <t>Please select</t>
  </si>
  <si>
    <t>Annual fuel production output. Denominator on all methodology sheets.</t>
  </si>
  <si>
    <t>Product Purity</t>
  </si>
  <si>
    <t>% (mass)</t>
  </si>
  <si>
    <t>Purity by mass (informational).</t>
  </si>
  <si>
    <t>Operating Hours</t>
  </si>
  <si>
    <t>h/yr</t>
  </si>
  <si>
    <t>Full-load equivalent hours in assessment year.</t>
  </si>
  <si>
    <t>kg MeOH/yr</t>
  </si>
  <si>
    <t>H₂ Supply</t>
  </si>
  <si>
    <t>kgH₂/kg product</t>
  </si>
  <si>
    <t>H₂ Merchant Emission Factor (as supplied)</t>
  </si>
  <si>
    <t>gCO₂e/kgH₂</t>
  </si>
  <si>
    <t>CO₂ Input</t>
  </si>
  <si>
    <t>CO₂ Source Category</t>
  </si>
  <si>
    <t>DAC</t>
  </si>
  <si>
    <t>kgCO₂e/kg CO₂</t>
  </si>
  <si>
    <t>Grid Electricity Consumption</t>
  </si>
  <si>
    <t>MWh/yr</t>
  </si>
  <si>
    <t>Renewable Electricity Consumption</t>
  </si>
  <si>
    <t>Other Electricity Consumption</t>
  </si>
  <si>
    <t>Water Input (including hydrogen production)</t>
  </si>
  <si>
    <t>Water Input Volume</t>
  </si>
  <si>
    <t>m³/yr</t>
  </si>
  <si>
    <t>Water Source / Type</t>
  </si>
  <si>
    <t>User/Site/Design</t>
  </si>
  <si>
    <t>Steam / Heat</t>
  </si>
  <si>
    <t>Steam Consumption</t>
  </si>
  <si>
    <t>MJ/yr</t>
  </si>
  <si>
    <t>Steam Source</t>
  </si>
  <si>
    <t>(Process) Fuels</t>
  </si>
  <si>
    <t>Fuel 1 — Type</t>
  </si>
  <si>
    <t>Fuel 1 — Amount</t>
  </si>
  <si>
    <t>Fuel 2 — Type</t>
  </si>
  <si>
    <t>Fuel 2 — Amount</t>
  </si>
  <si>
    <t>Fuel 3 — Type</t>
  </si>
  <si>
    <t>Fuel 3 — Amount</t>
  </si>
  <si>
    <t>Input Materials (Chemicals, Catalysts, etc.)</t>
  </si>
  <si>
    <t>Material 1 — Name</t>
  </si>
  <si>
    <t>Material 1 — Amount</t>
  </si>
  <si>
    <t>kg/yr</t>
  </si>
  <si>
    <t>Material 2 — Name</t>
  </si>
  <si>
    <t>Material 2 — Amount</t>
  </si>
  <si>
    <t>Material 3 — Name</t>
  </si>
  <si>
    <t>Material 3 — Amount</t>
  </si>
  <si>
    <t>Material 4 — Name</t>
  </si>
  <si>
    <t>Material 4 — Amount</t>
  </si>
  <si>
    <t>Plant Fugitive &amp; Leakage Emissions</t>
  </si>
  <si>
    <t>Fugitive 1 — GHG Type</t>
  </si>
  <si>
    <t>Fugitive 1 — Amount</t>
  </si>
  <si>
    <t>Annual fugitive mass emitted.</t>
  </si>
  <si>
    <t>Fugitive 2 — GHG Type</t>
  </si>
  <si>
    <t>Fugitive 2 — Amount</t>
  </si>
  <si>
    <t>Fugitive 3 — GHG Type</t>
  </si>
  <si>
    <t>Fugitive 3 — Amount</t>
  </si>
  <si>
    <t>Fugitive 4 — GHG Type</t>
  </si>
  <si>
    <t>Fugitive 4 — Amount</t>
  </si>
  <si>
    <t>Source:</t>
  </si>
  <si>
    <t>Boundary:</t>
  </si>
  <si>
    <t>Output unit:</t>
  </si>
  <si>
    <t>Threshold:</t>
  </si>
  <si>
    <t>Annual product output</t>
  </si>
  <si>
    <t>kg product/yr</t>
  </si>
  <si>
    <t>Annual product energy output</t>
  </si>
  <si>
    <t>MJ product/yr</t>
  </si>
  <si>
    <t>GHG Intensity Calculation</t>
  </si>
  <si>
    <t>Component</t>
  </si>
  <si>
    <t>Formula / Reference</t>
  </si>
  <si>
    <t>Description</t>
  </si>
  <si>
    <t>Type</t>
  </si>
  <si>
    <t>Amount</t>
  </si>
  <si>
    <t>Input Unit</t>
  </si>
  <si>
    <t>EF from selection</t>
  </si>
  <si>
    <t>EF override</t>
  </si>
  <si>
    <t>Active EF</t>
  </si>
  <si>
    <t>EF Unit</t>
  </si>
  <si>
    <t>Result (gCO₂e/MJ)</t>
  </si>
  <si>
    <t>kWh/yr</t>
  </si>
  <si>
    <t>Use EF override</t>
  </si>
  <si>
    <t>gCO₂e/kWh</t>
  </si>
  <si>
    <t>Annex A §7-8</t>
  </si>
  <si>
    <t>kgCO₂e/m³</t>
  </si>
  <si>
    <t>gCO₂e/MJ</t>
  </si>
  <si>
    <t>kgCO₂e/MJ</t>
  </si>
  <si>
    <t>gCO₂e/kg</t>
  </si>
  <si>
    <t>eᵢ (input supply emissions subtotal)</t>
  </si>
  <si>
    <t>Annex A §4-8</t>
  </si>
  <si>
    <t>Sum of H₂ precursor + CO₂ input + electricity + water + fuels + steam + materials.</t>
  </si>
  <si>
    <t>Annex A §12</t>
  </si>
  <si>
    <t>kgCO₂e/kg</t>
  </si>
  <si>
    <t>e_td — Transport &amp; distribution</t>
  </si>
  <si>
    <t>Annex A §16</t>
  </si>
  <si>
    <t>Storage and distribution of finished fuel (user input).</t>
  </si>
  <si>
    <t>gCO₂e/MJ product</t>
  </si>
  <si>
    <t>eᵤ — End-use combustion</t>
  </si>
  <si>
    <t>Annex A §13</t>
  </si>
  <si>
    <t>e_ccs — CCS savings (subtracted)</t>
  </si>
  <si>
    <t>Annex A §17</t>
  </si>
  <si>
    <t>kgCO₂e/yr</t>
  </si>
  <si>
    <t>E — Total GHG intensity</t>
  </si>
  <si>
    <t>Annex A §1</t>
  </si>
  <si>
    <t>EF — Fossil fuel comparator</t>
  </si>
  <si>
    <t>Annex A §2</t>
  </si>
  <si>
    <t>Constant per regulation</t>
  </si>
  <si>
    <t>% GHG Savings</t>
  </si>
  <si>
    <t>Annex A.2</t>
  </si>
  <si>
    <t>Savings = (E_F − E) / E_F</t>
  </si>
  <si>
    <t>Pass / Fail (≥ 70 % savings?)</t>
  </si>
  <si>
    <t>Methodology</t>
  </si>
  <si>
    <t>Boundary</t>
  </si>
  <si>
    <t>Threshold</t>
  </si>
  <si>
    <t>≥ 70 % savings → E ≤ 28.2 gCO₂e/MJ</t>
  </si>
  <si>
    <t>Notes on EU RFNBO</t>
  </si>
  <si>
    <t>MJ MeOH/yr</t>
  </si>
  <si>
    <t>WtT — e_water</t>
  </si>
  <si>
    <t>WtT — e_fuel</t>
  </si>
  <si>
    <t>WtT — e_steam</t>
  </si>
  <si>
    <t>WtT — e_materials</t>
  </si>
  <si>
    <t>WtT — eₚ fugitive</t>
  </si>
  <si>
    <t>WtT subtotal</t>
  </si>
  <si>
    <t>MEPC.391 §5</t>
  </si>
  <si>
    <t>TtW — N₂O</t>
  </si>
  <si>
    <t>kgCO₂e/kg MeOH</t>
  </si>
  <si>
    <t>TtW subtotal</t>
  </si>
  <si>
    <t>MEPC-ES.2-2 draft</t>
  </si>
  <si>
    <t>% Reduction vs. MGO baseline</t>
  </si>
  <si>
    <t>Notes on IMO</t>
  </si>
  <si>
    <t>CORSIA Sustainability Criteria (Doc 05, June 2025) + Default LCA (Doc 06, Nov 2025) + Actual LCA Methodology (Doc 07, Nov 2025) + CEF LCA V8.</t>
  </si>
  <si>
    <t>Well-to-Wake: WtT (feedstock + fuel production + transport + storage) + TtW (combustion). Machinery excluded (Doc 07 §2.2.1).</t>
  </si>
  <si>
    <t>Life Cycle GHG (LCA) in gCO₂eq/MJ SAF.</t>
  </si>
  <si>
    <t>kg SAF/yr</t>
  </si>
  <si>
    <t>MJ SAF/yr</t>
  </si>
  <si>
    <t>Doc 07 §2.2.1</t>
  </si>
  <si>
    <t>gCO₂e/MJ SAF</t>
  </si>
  <si>
    <t>Doc 07 §2.2</t>
  </si>
  <si>
    <t>LCA = (WtT × AF) + TtW</t>
  </si>
  <si>
    <t>LCA — kg-mirror</t>
  </si>
  <si>
    <t>LCA × 44.0 / 1000</t>
  </si>
  <si>
    <t>kgCO₂e/kg SAF</t>
  </si>
  <si>
    <t>Baseline (fossil Jet-A)</t>
  </si>
  <si>
    <t>Doc 05 §2.1</t>
  </si>
  <si>
    <t>% Reduction vs. baseline</t>
  </si>
  <si>
    <t>Pass / Fail (≥ 10 % reduction?)</t>
  </si>
  <si>
    <t>IPCC AR5 GWP100 (per Doc 07 default; PDF review at build time may permit AR6)</t>
  </si>
  <si>
    <t>≥ 10 % lifecycle reduction → LCA ≤ 80.1 gCO₂e/MJ</t>
  </si>
  <si>
    <t>Notes on CORSIA</t>
  </si>
  <si>
    <t>Included in Results (from Project Data):</t>
  </si>
  <si>
    <t>Applicable to selected product?</t>
  </si>
  <si>
    <t>Product (from Project Data):</t>
  </si>
  <si>
    <t>Metric</t>
  </si>
  <si>
    <t>EU RFNBO</t>
  </si>
  <si>
    <t>IMO</t>
  </si>
  <si>
    <t>CORSIA</t>
  </si>
  <si>
    <t>Notes</t>
  </si>
  <si>
    <t>Pass / Fail</t>
  </si>
  <si>
    <t>Methodology Details</t>
  </si>
  <si>
    <t>Methodology / Regulation</t>
  </si>
  <si>
    <t>MEPC.391(81) + MEPC-ES.2-2 draft</t>
  </si>
  <si>
    <t>ICAO CORSIA Doc 05 + Doc 06 + Doc 07 + CEF LCA V8</t>
  </si>
  <si>
    <t>Well-to-Wake; machinery excluded</t>
  </si>
  <si>
    <t>Well-to-Wake per Doc 07 §2.2.1</t>
  </si>
  <si>
    <t>Emission Factors and External References</t>
  </si>
  <si>
    <t>§10.1 Grid Emission Factors</t>
  </si>
  <si>
    <t>Region / Grid</t>
  </si>
  <si>
    <t>Factor</t>
  </si>
  <si>
    <t>Source</t>
  </si>
  <si>
    <t>Version / Year</t>
  </si>
  <si>
    <t>Notes / Weblink</t>
  </si>
  <si>
    <t>EU RFNBO — Country-level Grid EFs (Reg. 2023/1185 Annex Part C)</t>
  </si>
  <si>
    <t>European Commission (Delegated Reg. 2023/1185)</t>
  </si>
  <si>
    <t>10 Feb 2023</t>
  </si>
  <si>
    <t>UNFCCC IFI Harmonized Default Grid Factors (all countries)</t>
  </si>
  <si>
    <t>UNFCCC IFI Technical Working Group on GHG Accounting</t>
  </si>
  <si>
    <t>v3.2 (Apr 2022; data year 2021)</t>
  </si>
  <si>
    <t>https://unfccc.int/sites/default/files/resource/Harmonized_Grid_Emission_factor_data_set.xlsx</t>
  </si>
  <si>
    <t>§10.2 Fuel Emission Factors (gCO₂eq/MJ, LHV basis)</t>
  </si>
  <si>
    <t>Fuel</t>
  </si>
  <si>
    <t>CO₂ emissions</t>
  </si>
  <si>
    <t>Non-CO₂ combustion (CO₂e)</t>
  </si>
  <si>
    <t>Upstream (well-to-tank)</t>
  </si>
  <si>
    <t>Total emissions incl. upstream</t>
  </si>
  <si>
    <t>Source / Notes</t>
  </si>
  <si>
    <t>Natural Gas</t>
  </si>
  <si>
    <t>Diesel</t>
  </si>
  <si>
    <t>Gasoline</t>
  </si>
  <si>
    <t>Heavy fuel oil</t>
  </si>
  <si>
    <t>Methanol</t>
  </si>
  <si>
    <t>Hard coal</t>
  </si>
  <si>
    <t>Lignite</t>
  </si>
  <si>
    <t>LPG (derived)</t>
  </si>
  <si>
    <t>Other</t>
  </si>
  <si>
    <t>Used for populating dropdown</t>
  </si>
  <si>
    <t>§10.3 Water Emission Factors (Ecoinvent proxy)</t>
  </si>
  <si>
    <t>Water Source</t>
  </si>
  <si>
    <t>Water (municipal supply)</t>
  </si>
  <si>
    <t>Ecoinvent / LCI</t>
  </si>
  <si>
    <t>3.9</t>
  </si>
  <si>
    <t>https://ecoinvent.org/database/</t>
  </si>
  <si>
    <t>Water (desalinated)</t>
  </si>
  <si>
    <t>Literature</t>
  </si>
  <si>
    <t>Deionized water</t>
  </si>
  <si>
    <t>Ecoinvent</t>
  </si>
  <si>
    <t>§10.3b Material Emission Factors — RFNBO Annex Part B (Standard Values)</t>
  </si>
  <si>
    <t>Material</t>
  </si>
  <si>
    <t>Ammonia</t>
  </si>
  <si>
    <t>RFNBO Annex Part B (Reg. 2023/1185)</t>
  </si>
  <si>
    <t>http://data.europa.eu/eli/reg_del/2023/1185/oj</t>
  </si>
  <si>
    <t>Calcium chloride (CaCl₂)</t>
  </si>
  <si>
    <t>Cyclohexane</t>
  </si>
  <si>
    <t>Hydrochloric acid (HCl)</t>
  </si>
  <si>
    <t>Lubricants</t>
  </si>
  <si>
    <t>Magnesium sulphate (MgSO₄)</t>
  </si>
  <si>
    <t>Nitrogen</t>
  </si>
  <si>
    <t>Phosphoric acid (H₃PO₄)</t>
  </si>
  <si>
    <t>Potassium hydroxide (KOH)</t>
  </si>
  <si>
    <t>Pure CaO for processes</t>
  </si>
  <si>
    <t>Sodium carbonate (Na₂CO₃)</t>
  </si>
  <si>
    <t>Sodium chloride (NaCl)</t>
  </si>
  <si>
    <t>Sodium hydroxide (NaOH)</t>
  </si>
  <si>
    <t>Sodium methoxide (Na(CH₃O))</t>
  </si>
  <si>
    <t>SO₂</t>
  </si>
  <si>
    <t>Sulphuric acid (H₂SO₄)</t>
  </si>
  <si>
    <t>Urea</t>
  </si>
  <si>
    <t>§10.4 Steam / Heat Emission Factors</t>
  </si>
  <si>
    <t>Source Type</t>
  </si>
  <si>
    <t>Natural gas boiler</t>
  </si>
  <si>
    <t>IPCC 2006 GL</t>
  </si>
  <si>
    <t>2006</t>
  </si>
  <si>
    <t>https://www.ipcc-nggip.iges.or.jp/public/2006gl/</t>
  </si>
  <si>
    <t>Coal boiler</t>
  </si>
  <si>
    <t>Waste heat (industrial)</t>
  </si>
  <si>
    <t>Electric boiler (grid)</t>
  </si>
  <si>
    <t>Derived</t>
  </si>
  <si>
    <t>GHG</t>
  </si>
  <si>
    <t>CO₂</t>
  </si>
  <si>
    <t>IPCC AR5 WG1 Ch.8 Tab.8.7</t>
  </si>
  <si>
    <t>CH₄</t>
  </si>
  <si>
    <t>N₂O</t>
  </si>
  <si>
    <t>§10.6 Standard Unit Conversions</t>
  </si>
  <si>
    <t>Conversion</t>
  </si>
  <si>
    <t>From → To</t>
  </si>
  <si>
    <t>Energy</t>
  </si>
  <si>
    <t>1 kWh = 3.6 MJ</t>
  </si>
  <si>
    <t>1 MWh = 1,000 kWh</t>
  </si>
  <si>
    <t>Mass</t>
  </si>
  <si>
    <t>1 t = 1,000 kg</t>
  </si>
  <si>
    <t>H₂ LHV</t>
  </si>
  <si>
    <t>120 MJ/kg (lower heating value)</t>
  </si>
  <si>
    <t>§10.8 e-Methanol Constants</t>
  </si>
  <si>
    <t>Constant</t>
  </si>
  <si>
    <t>MeOH LHV</t>
  </si>
  <si>
    <t>MJ/kg</t>
  </si>
  <si>
    <t>GESAMP-LCA + IMO MEPC.391 default</t>
  </si>
  <si>
    <t>MeOH molar mass</t>
  </si>
  <si>
    <t>g/mol</t>
  </si>
  <si>
    <t>MeOH C fraction</t>
  </si>
  <si>
    <t>kg C/kg MeOH</t>
  </si>
  <si>
    <t>12.011/32.042</t>
  </si>
  <si>
    <t>Stoichiometric H₂:MeOH</t>
  </si>
  <si>
    <t>kgH₂/kg MeOH</t>
  </si>
  <si>
    <t>3 × 2.016 / 32.042</t>
  </si>
  <si>
    <t>Stoichiometric CO₂:MeOH</t>
  </si>
  <si>
    <t>kg CO₂/kg MeOH</t>
  </si>
  <si>
    <t>44.01 / 32.042</t>
  </si>
  <si>
    <t>RFNBO MeOH threshold (kg-mirror)</t>
  </si>
  <si>
    <t>28.2 × 19.9 / 1000</t>
  </si>
  <si>
    <t>§10.9 e-SAF Constants</t>
  </si>
  <si>
    <t>SAF LHV</t>
  </si>
  <si>
    <t>ASTM D7566 typical SPK</t>
  </si>
  <si>
    <t>SAF C fraction</t>
  </si>
  <si>
    <t>kg C/kg SAF</t>
  </si>
  <si>
    <t>C₁₂H₂₆ surrogate</t>
  </si>
  <si>
    <t>Stoichiometric H₂:SAF (FT route)</t>
  </si>
  <si>
    <t>kgH₂/kg SAF</t>
  </si>
  <si>
    <t>H₂ via RWGS + FT synthesis</t>
  </si>
  <si>
    <t>Stoichiometric CO₂:SAF (FT route)</t>
  </si>
  <si>
    <t>kg CO₂/kg SAF</t>
  </si>
  <si>
    <t>MeOH:SAF (ATJ route)</t>
  </si>
  <si>
    <t>kg MeOH/kg SAF</t>
  </si>
  <si>
    <t>MTJ literature typical</t>
  </si>
  <si>
    <t>Effective H₂:SAF (ATJ)</t>
  </si>
  <si>
    <t>1.38 × 0.189</t>
  </si>
  <si>
    <t>Effective CO₂:SAF (ATJ)</t>
  </si>
  <si>
    <t>1.38 × 1.373</t>
  </si>
  <si>
    <t>RFNBO SAF threshold (kg-mirror)</t>
  </si>
  <si>
    <t>28.2 × 44.0 / 1000</t>
  </si>
  <si>
    <t>CORSIA SAF threshold (kg-mirror)</t>
  </si>
  <si>
    <t>80.1 × 44.0 / 1000</t>
  </si>
  <si>
    <t>§10.10 Hydrogen Precursor Reference EFs</t>
  </si>
  <si>
    <t>H₂ pathway</t>
  </si>
  <si>
    <t>Typical range</t>
  </si>
  <si>
    <t>Green H₂ (renewable electrolysis)</t>
  </si>
  <si>
    <t>0.5 – 1.5</t>
  </si>
  <si>
    <t>kgCO₂e/kgH₂</t>
  </si>
  <si>
    <t>RFNBO-cert values</t>
  </si>
  <si>
    <t>Blue H₂ (SMR + CCS)</t>
  </si>
  <si>
    <t>3.0 – 8.0</t>
  </si>
  <si>
    <t>IEA / literature</t>
  </si>
  <si>
    <t>Grey H₂ (SMR without CCS)</t>
  </si>
  <si>
    <t>10 – 13</t>
  </si>
  <si>
    <t>§10.11 CO₂ Source Reference Emission Factors</t>
  </si>
  <si>
    <t>Capture EF (default)</t>
  </si>
  <si>
    <t>Transport EF (default)</t>
  </si>
  <si>
    <t>Biogenic flag</t>
  </si>
  <si>
    <t>Notes / Source</t>
  </si>
  <si>
    <t>Biogenic</t>
  </si>
  <si>
    <t>Fermentation vent / biogas upgrading; counts as biogenic on TtW</t>
  </si>
  <si>
    <t>Direct air capture; treated as biogenic on TtW per Reg. 2023/1185 Art. 7</t>
  </si>
  <si>
    <t>Industrial point-source (fossil)</t>
  </si>
  <si>
    <t>Case-by-case eligibility under CORSIA Doc 05 §2.2</t>
  </si>
  <si>
    <t>Industrial point-source (biogenic)</t>
  </si>
  <si>
    <t>Biogenic point source; TtW combustion treated as biogenic</t>
  </si>
  <si>
    <t>§10.12 End-Use Combustion Factors (Marine MeOH engines)</t>
  </si>
  <si>
    <t>Engine Type</t>
  </si>
  <si>
    <t>§10.13 IMO Parameters</t>
  </si>
  <si>
    <t>MGO baseline GFI (2008)</t>
  </si>
  <si>
    <t>§10.14 CORSIA Parameters + Doc 06 Pathway Defaults</t>
  </si>
  <si>
    <t>Parameter / Pathway ID</t>
  </si>
  <si>
    <t>Value / Default LCA</t>
  </si>
  <si>
    <t>Reduction threshold</t>
  </si>
  <si>
    <t>%</t>
  </si>
  <si>
    <t>Doc 05 §2.1 — 10% reduction</t>
  </si>
  <si>
    <t>§10.15 References</t>
  </si>
  <si>
    <t>Document</t>
  </si>
  <si>
    <t>Version / Date</t>
  </si>
  <si>
    <t>Relevant Pages</t>
  </si>
  <si>
    <t>Publisher</t>
  </si>
  <si>
    <t>Status</t>
  </si>
  <si>
    <t>Commission Delegated Reg. (EU) 2023/1185 — RFNBO methodology</t>
  </si>
  <si>
    <t>Annex A</t>
  </si>
  <si>
    <t>European Commission</t>
  </si>
  <si>
    <t>In force</t>
  </si>
  <si>
    <t>Commission Delegated Reg. (EU) 2023/1184 — RFNBO electricity rules</t>
  </si>
  <si>
    <t>Arts. 4-7</t>
  </si>
  <si>
    <t>http://data.europa.eu/eli/reg_del/2023/1184/oj</t>
  </si>
  <si>
    <t>Directive (EU) 2018/2001 — Renewable Energy Directive (RED II)</t>
  </si>
  <si>
    <t>11 Dec 2018</t>
  </si>
  <si>
    <t>Art. 25(2), Annex V</t>
  </si>
  <si>
    <t>EP &amp; Council</t>
  </si>
  <si>
    <t>http://data.europa.eu/eli/dir/2018/2001/oj</t>
  </si>
  <si>
    <t>Directive (EU) 2023/2413 — RED III</t>
  </si>
  <si>
    <t>18 Oct 2023</t>
  </si>
  <si>
    <t>Amending 2018/2001</t>
  </si>
  <si>
    <t>http://data.europa.eu/eli/dir/2023/2413/oj</t>
  </si>
  <si>
    <t>MEPC.391(81) — 2024 LCA Guidelines</t>
  </si>
  <si>
    <t>Apr 2024</t>
  </si>
  <si>
    <t>All</t>
  </si>
  <si>
    <t>https://www.imo.org/</t>
  </si>
  <si>
    <t>MEPC-ES.2-2 — draft revised MARPOL Annex VI</t>
  </si>
  <si>
    <t>2025</t>
  </si>
  <si>
    <t>GFI trajectory</t>
  </si>
  <si>
    <t>Draft</t>
  </si>
  <si>
    <t>GESAMP-LCA WG FAQs</t>
  </si>
  <si>
    <t>GESAMP / IMO</t>
  </si>
  <si>
    <t>Reference</t>
  </si>
  <si>
    <t>https://www.gesamp.org/</t>
  </si>
  <si>
    <t>CORSIA Doc 05 — Sustainability Criteria</t>
  </si>
  <si>
    <t>June 2025</t>
  </si>
  <si>
    <t>§2.1, §2.2</t>
  </si>
  <si>
    <t>ICAO</t>
  </si>
  <si>
    <t>https://www.icao.int/environmental-protection/CORSIA/</t>
  </si>
  <si>
    <t>CORSIA Doc 06 — Default LCA Emissions</t>
  </si>
  <si>
    <t>Nov 2025</t>
  </si>
  <si>
    <t>CORSIA Doc 07 — Actual LCA Methodology</t>
  </si>
  <si>
    <t>§2.2.1, §2.2.3</t>
  </si>
  <si>
    <t>CORSIA CEF LCA Methodology V8</t>
  </si>
  <si>
    <t>https://www.icao.int/</t>
  </si>
  <si>
    <t>ASTM D7566 (with Annex A5 amendment WK96698, expected 2026)</t>
  </si>
  <si>
    <t>2026</t>
  </si>
  <si>
    <t>Annex A5 — MeOH feedstock ATJ-SPK 50% blend</t>
  </si>
  <si>
    <t>ASTM International</t>
  </si>
  <si>
    <t>Amendment expected Jul 2026</t>
  </si>
  <si>
    <t>https://www.astm.org/d7566</t>
  </si>
  <si>
    <t>IPCC AR5 WG1 Ch. 8 Tbl 8.7 (GWP100)</t>
  </si>
  <si>
    <t>2013</t>
  </si>
  <si>
    <t>Ch. 8 Tbl 8.7</t>
  </si>
  <si>
    <t>IPCC</t>
  </si>
  <si>
    <t>https://www.ipcc.ch/report/ar5/wg1/</t>
  </si>
  <si>
    <t>IPCC 2006 GL — Vol. 2 Ch. 2 stationary combustion</t>
  </si>
  <si>
    <t>2006 (2019 Refinement)</t>
  </si>
  <si>
    <t>Ch. 2</t>
  </si>
  <si>
    <t>Ecoinvent Database</t>
  </si>
  <si>
    <t>v3.9+</t>
  </si>
  <si>
    <t>LCI materials</t>
  </si>
  <si>
    <t>Ecoinvent Association</t>
  </si>
  <si>
    <t xml:space="preserve">Dropdown: e-Methanol / e-SAF. </t>
  </si>
  <si>
    <t>Yes/No — include this methodology in Results.
Select No if product = e-Methanol (marine)</t>
  </si>
  <si>
    <t>Yes/No — include this methodology in Results.
Select No if product = e-SAF (aviation).</t>
  </si>
  <si>
    <t>Dropdown: FT / ATJ / MTJ. Only for product = e-SAF. (informational)</t>
  </si>
  <si>
    <t>H₂ Consumption Rate</t>
  </si>
  <si>
    <t>Please define hydrogen input including typical purge/loss.</t>
  </si>
  <si>
    <t>Merchant branch only — user cites source (RFNBO cert, hydrogen tool result). Ignored under On-site electrolysis.</t>
  </si>
  <si>
    <t>Alcohol input (ethanol/methanol)</t>
  </si>
  <si>
    <t>kg/kg product</t>
  </si>
  <si>
    <t>CO₂ Consumption Rate</t>
  </si>
  <si>
    <t>CO₂ Emission Factor</t>
  </si>
  <si>
    <t>gCO₂e/kgCO₂</t>
  </si>
  <si>
    <t>kgCO₂/kg product</t>
  </si>
  <si>
    <r>
      <t>Please define CO</t>
    </r>
    <r>
      <rPr>
        <i/>
        <vertAlign val="subscript"/>
        <sz val="9"/>
        <color rgb="FF000000"/>
        <rFont val="Arial"/>
        <family val="2"/>
      </rPr>
      <t>2</t>
    </r>
    <r>
      <rPr>
        <i/>
        <sz val="9"/>
        <color rgb="FF000000"/>
        <rFont val="Arial"/>
        <family val="2"/>
      </rPr>
      <t xml:space="preserve"> supply</t>
    </r>
  </si>
  <si>
    <r>
      <t>Please define emission factor for CO</t>
    </r>
    <r>
      <rPr>
        <i/>
        <vertAlign val="subscript"/>
        <sz val="9"/>
        <color rgb="FF000000"/>
        <rFont val="Arial"/>
        <family val="2"/>
      </rPr>
      <t>2</t>
    </r>
    <r>
      <rPr>
        <i/>
        <sz val="9"/>
        <color rgb="FF000000"/>
        <rFont val="Arial"/>
        <family val="2"/>
      </rPr>
      <t xml:space="preserve"> supply based on an LCA approach</t>
    </r>
  </si>
  <si>
    <t xml:space="preserve">Dropdown: Biogenic / DAC. (informational). </t>
  </si>
  <si>
    <t>Consumption Rate</t>
  </si>
  <si>
    <t>Merchant Emission Factor (as supplied)</t>
  </si>
  <si>
    <t>Please define quantity of supply</t>
  </si>
  <si>
    <t>Please define emission factor for supply based on an LCA approach</t>
  </si>
  <si>
    <t>Electricity</t>
  </si>
  <si>
    <t>Total Electricity Consumption</t>
  </si>
  <si>
    <t>Electricity from the grid</t>
  </si>
  <si>
    <t>Dedicated renewable electricity or electricity that is deemed renewable as per the applied methodologies</t>
  </si>
  <si>
    <t>Other sources (if any)</t>
  </si>
  <si>
    <t>Sum of above (only for information)</t>
  </si>
  <si>
    <t>Total water consumed</t>
  </si>
  <si>
    <t>Dropdown: pick from list; select "Other" if not listed and enter your own EF in the EF cells on the methodology sheets accordingly.</t>
  </si>
  <si>
    <t>Process steam/heat from external sources</t>
  </si>
  <si>
    <t>Energy content</t>
  </si>
  <si>
    <t>Annual consumption</t>
  </si>
  <si>
    <t>Commission Delegated Reg. (EU) 2023/1185 (10 Feb 2023, OJ L 157, methodology) + Commission Delegated Reg. (EU) 2023/1184 (electricity rules); Directive (EU) 2018/2001 (RED II), amended by Directive (EU) 2023/2413 (RED III, 18 Oct 2023).</t>
  </si>
  <si>
    <t>Well-to-Wheel/Wake including supply of inputs, processing, transport &amp; distribution, end-use combustion (i.e. = 0 for H₂). CCS savings subtracted. Emissions from manufacture of machinery/equipment EXCLUDED (Annex A.1).</t>
  </si>
  <si>
    <t>Primary: gCO₂e/MJ NH₃ (regulation native); mirrored as kgCO₂e/kgNH₃ (= E_gMJ × 18.6 ÷ 1000)</t>
  </si>
  <si>
    <t>≥ 70 % GHG savings vs. fossil fuel comparator E_F = 94 gCO₂eq/MJ (Art. 25(2) of Dir. 2018/2001)</t>
  </si>
  <si>
    <t>EU RFNBO (Renewable Fuels of Non-Biological Origin) is the EU's framework for certifying renewable hydrogen and derived synthetic fuels. The methodology in Commission Delegated Regulation (EU) 2023/1185 defines a complete well-to-wheel formula:  E = eᵢ + eₚ + e_td + eᵤ − e_ccs (gCO₂eq/MJ fuel).</t>
  </si>
  <si>
    <t>Electricity treatment is the dominant lever. Electricity consumption shall be differentiated as per the regulations path using the related relevant electricity EF.</t>
  </si>
  <si>
    <t>As such, additionality, temporal and geographical correlation (Reg. 2023/1184) are important - they do not modify the calculation directly but signal whether the project qualifies for the favourable electricity treatment under Art. 4 of Reg. 2023/1184.</t>
  </si>
  <si>
    <t>RFNBO covers only non-biological-origin hydrogen by definition (Art. 2(36) of Dir. (EU) 2018/2001). Biomass-derived H₂ falls under RED II Annex VI as a biomass fuel, not RFNBO -- not modelled in this tool.</t>
  </si>
  <si>
    <t>CO₂ Source: biogenic/DAC sources assuming CO₂ combustion = 0. The tool is not testing the conditions for this assumption. As such the user is required to check the related conditions accordingly.</t>
  </si>
  <si>
    <t>e_electricity (within eᵢ_elastic)</t>
  </si>
  <si>
    <t>e_water (within eᵢ_elastic)</t>
  </si>
  <si>
    <t>e_fuel (within eᵢ_elastic)</t>
  </si>
  <si>
    <t>e_steam (within eᵢ_elastic)</t>
  </si>
  <si>
    <t>e_materials (within eᵢ_elastic)</t>
  </si>
  <si>
    <r>
      <t>e_H</t>
    </r>
    <r>
      <rPr>
        <vertAlign val="subscript"/>
        <sz val="10"/>
        <color rgb="FF000000"/>
        <rFont val="Arial"/>
        <family val="2"/>
      </rPr>
      <t>2</t>
    </r>
  </si>
  <si>
    <r>
      <t>e_CO</t>
    </r>
    <r>
      <rPr>
        <vertAlign val="subscript"/>
        <sz val="10"/>
        <color rgb="FF000000"/>
        <rFont val="Arial"/>
        <family val="2"/>
      </rPr>
      <t>2</t>
    </r>
  </si>
  <si>
    <t>e_Alcohol</t>
  </si>
  <si>
    <t>Emissions from H2 if merchant supply</t>
  </si>
  <si>
    <t>-</t>
  </si>
  <si>
    <t>Emissions from alcohol if merchant supply</t>
  </si>
  <si>
    <t>Emissions from CO2 if merchant supply</t>
  </si>
  <si>
    <t>Reg. 2023/1185
Annex A §5-6</t>
  </si>
  <si>
    <t>Electricity input. EF as per RFNBO Electricity Treatment: Fully Renewable / FLH below marginal → 0; FLH above marginal → 183 gCO₂eq/MJ; Grid Country Average / Marginal Unit</t>
  </si>
  <si>
    <t>Water supply emissions. Ecoinvent data is used as proxy. Override by own EF if available.</t>
  </si>
  <si>
    <t>Process fuels as provided on Project Data sheet</t>
  </si>
  <si>
    <t>Steam consumption</t>
  </si>
  <si>
    <t>Input materials as provided on Project Data sheet</t>
  </si>
  <si>
    <t>eᵢ_rigid</t>
  </si>
  <si>
    <t>Annex A §9</t>
  </si>
  <si>
    <t>Rigid inputs (waste streams, captive co-products from incorporated processes). Typically 0 for green electrolysis.</t>
  </si>
  <si>
    <t>e_ex-use</t>
  </si>
  <si>
    <t>Annex A §10</t>
  </si>
  <si>
    <t>Avoided emissions from the input's existing use or fate. Subtracted from eᵢ.</t>
  </si>
  <si>
    <t>eₚ — Plant fugitive/leakage emissions (§12 leakage component)</t>
  </si>
  <si>
    <t>Processing emissions (direct atmospheric CH4, N2O, etc.)</t>
  </si>
  <si>
    <t>Combustion CO₂ = assumed "neutral" under this tool.</t>
  </si>
  <si>
    <t>CH4 emissions from combustion</t>
  </si>
  <si>
    <t>N2O emissions from combustion</t>
  </si>
  <si>
    <t>N₂O EF (gN₂O/kWh fuel)</t>
  </si>
  <si>
    <t>CH4 EF (gCH4/kWh fuel)</t>
  </si>
  <si>
    <t>Slow Speed / Medium Engine</t>
  </si>
  <si>
    <t>For EU projects: pick country grid EF from Annex Table A. For non-EU grids: use Annex Part C methodology. http://data.europa.eu/eli/reg_del/2023/1185/oj</t>
  </si>
  <si>
    <t>EU CBAM — Not applicable for hydrogen</t>
  </si>
  <si>
    <t>European Parliament &amp; Council (Reg. 2023/956)</t>
  </si>
  <si>
    <t>10 May 2023</t>
  </si>
  <si>
    <t>Annex II of Reg. 2023/956: hydrogen (CN 2804 10 00) counts direct emissions only; grid electricity out of scope. http://data.europa.eu/eli/reg/2023/956/oj</t>
  </si>
  <si>
    <t>India — National Grid (CEA)</t>
  </si>
  <si>
    <t>Central Electricity Authority</t>
  </si>
  <si>
    <t>v20.0 (Dec 2024); GHCI cites 0.71</t>
  </si>
  <si>
    <t>https://cea.nic.in/cdm-co2-baseline-database/?lang=en</t>
  </si>
  <si>
    <t>India — Regional Grid (example)</t>
  </si>
  <si>
    <t>CEA</t>
  </si>
  <si>
    <t>State-specific — see CEA CO₂ Baseline DB</t>
  </si>
  <si>
    <t>South Korea — National Grid</t>
  </si>
  <si>
    <t>Korea Energy Agency</t>
  </si>
  <si>
    <t>2023 (KEA/national inventory)</t>
  </si>
  <si>
    <t>https://english.motie.go.kr/eng/article/EATCLdfa319ada/1619/view</t>
  </si>
  <si>
    <t>CO₂ + Non-CO₂ from IPCC 2006 Table 1 (NG, AR5 GWPs); Upstream + WTT from RFNBO Annex Part B</t>
  </si>
  <si>
    <t>CO₂ + Non-CO₂ from IPCC 2006 Table 1 (Gas oil and diesel oil, AR5 GWPs); Upstream + WTT from Part B</t>
  </si>
  <si>
    <t>CO₂ + Non-CO₂ from IPCC 2006 Table 1 (Motor gasoline, AR5 GWPs); Upstream + WTT from Part B</t>
  </si>
  <si>
    <t>CO₂ + Non-CO₂ from IPCC 2006 Table 1 (Fuel oil, AR5 GWPs); Upstream + WTT from Part B</t>
  </si>
  <si>
    <t>CO₂ (~= Part B combustion for methanol; IPCC does not list methanol); Non-CO₂ negligible; Upstream + WTT from Part B</t>
  </si>
  <si>
    <t>CO₂ + Non-CO₂ from IPCC 2006 Table 1 (Other bituminous coal, AR5 GWPs); Upstream + WTT from Part B</t>
  </si>
  <si>
    <t>CO₂ + Non-CO₂ from IPCC 2006 Table 1 (Lignite, AR5 GWPs); Upstream + WTT from Part B. Note: WTT (116.7 Part B) exceeds sum of columns because Part B assumes higher combustion factor</t>
  </si>
  <si>
    <t>CO₂ + Non-CO₂ from IPCC 2006 Table 1 (Liquefied petroleum gases, AR5 GWPs); Upstream from IPCC 2006 Table 3 (Petroleum products); WTT = sum (LPG not in Part B)</t>
  </si>
  <si>
    <t>Indicative — site-specific LCA preferred (Ecoinvent: https://ecoinvent.org/database/)</t>
  </si>
  <si>
    <t>NaOH (caustic soda)</t>
  </si>
  <si>
    <t>KOH (potassium hydroxide)</t>
  </si>
  <si>
    <t>Salt (NaCl)</t>
  </si>
  <si>
    <t>Catalyst (generic placeholder)</t>
  </si>
  <si>
    <t>Placeholder</t>
  </si>
  <si>
    <t>Placeholder — replace with specific catalyst LCI from Ecoinvent (https://ecoinvent.org/database/)</t>
  </si>
  <si>
    <t>https://www.ipcc-nggip.iges.or.jp/public/2006gl/pdf/2_Volume2/V2_2_Ch2_Stationary_Combustion.pdf</t>
  </si>
  <si>
    <t>Per methodology — no upstream allocation if true waste heat</t>
  </si>
  <si>
    <t>Derived: = grid_EF / 3.6 / boiler_eff (see above for grid EF source)</t>
  </si>
  <si>
    <t>Notes: As of now, most regulations refer to AR5 values. However, this may change in future updates and revisions of the applied methodologies.</t>
  </si>
  <si>
    <t>H₂ HHV</t>
  </si>
  <si>
    <t>141.8 MJ/kg (higher heating value)</t>
  </si>
  <si>
    <t>eᵢ = eᵢ_elastic + eᵢ_rigid − e_ex-use</t>
  </si>
  <si>
    <t>Annex A.1</t>
  </si>
  <si>
    <t>Total emissions from supply of inputs.</t>
  </si>
  <si>
    <t>gCO₂/MJ</t>
  </si>
  <si>
    <t>gCH4/MJ</t>
  </si>
  <si>
    <t>gN2O/MJ</t>
  </si>
  <si>
    <t>CH4 EF (gCH4/MJ fuel)</t>
  </si>
  <si>
    <t>N₂O EF (gN₂O/MJ fuel)</t>
  </si>
  <si>
    <t>E = eᵢ + eₚ + e_td + eᵤ − e_ccs</t>
  </si>
  <si>
    <t>E — Total GHG intensity (mirror unit)</t>
  </si>
  <si>
    <t>Fossil fuel comparator EF_F — fixed at 94 gCO₂e/MJ</t>
  </si>
  <si>
    <t>Selected product</t>
  </si>
  <si>
    <t>Type of product selected on Project Data sheet</t>
  </si>
  <si>
    <t xml:space="preserve">The threshold is ≥ 70 % GHG savings against a fixed fossil fuel comparator of 94 gCO₂eq/MJ. </t>
  </si>
  <si>
    <t>MEPC.391(81) LCA Guidelines (Apr 2024) + draft revised MARPOL Annex VI (MEPC-ES.2-2) + GESAMP-LCA WG FAQs (2025)</t>
  </si>
  <si>
    <t>No fuel specific threshold but GFI Trajectory for ship: Direct and Base Targets for years between 2028 and 2035</t>
  </si>
  <si>
    <t>IPCC AR5 GWP100</t>
  </si>
  <si>
    <t>IMO — GHG Fuel Intensity (e-Methanol as marine bunker fuel)</t>
  </si>
  <si>
    <t>EU RFNBO — Renewable Fuels of Non-Biological Origin</t>
  </si>
  <si>
    <t>(Change on Project Data sheet if not an input cell)</t>
  </si>
  <si>
    <t>GFI2008 is the GFI reference value equivalent to 93.3 gCO2eq/MJ (well-to-wake), representing the average GFI of international shipping in year 2008</t>
  </si>
  <si>
    <t>GFI Trajectory: Direct and Base Targets for years between 2028 and 2035</t>
  </si>
  <si>
    <t>This sheet is only applicable when selected product = e-methanol</t>
  </si>
  <si>
    <t>WtT — e_H2</t>
  </si>
  <si>
    <t>WtT — e_CO2</t>
  </si>
  <si>
    <t>WtT — e_Alcohol</t>
  </si>
  <si>
    <t>GHG Fuel Intensity (GFI) in gCO₂eq/MJ e-fuel</t>
  </si>
  <si>
    <t>Well-to-Wake: WtT (feedstock extraction + fuel production + transport &amp; bunkering) + TtW (combustion). Machinery/equipment manufacturing excluded.</t>
  </si>
  <si>
    <t>WtT — e_electricity</t>
  </si>
  <si>
    <t>MEPC.391 Section 4</t>
  </si>
  <si>
    <t>Electricity consumption</t>
  </si>
  <si>
    <t>Additional emissions associated with the feedstock extraction/cultivation/acquisition/recovery not yet covered above</t>
  </si>
  <si>
    <t>CCS savings term</t>
  </si>
  <si>
    <t>WtT — efecu</t>
  </si>
  <si>
    <t>WtT — etd</t>
  </si>
  <si>
    <t>WtT — eccs</t>
  </si>
  <si>
    <t>TtW — CO2</t>
  </si>
  <si>
    <t>TtW — CH4</t>
  </si>
  <si>
    <t>gCO₂e/MJ e-fuel</t>
  </si>
  <si>
    <t>Emissions from storage and distribution of finished e-fuel</t>
  </si>
  <si>
    <t>WtT — e total</t>
  </si>
  <si>
    <t>TtW — e total</t>
  </si>
  <si>
    <t>e total</t>
  </si>
  <si>
    <t>e total (mirror unit)</t>
  </si>
  <si>
    <t>kgCO₂e/kg e-fuel</t>
  </si>
  <si>
    <t>Reg. (EU) 2023/1185 + Reg. (EU) 2023/1184 + Dir. 2018/2001 (RED II) / 2023/2413 (RED III)</t>
  </si>
  <si>
    <t>Well-to-wheel; machinery/equipment excluded (Annex A.1)</t>
  </si>
  <si>
    <t>IPCC AR5 GWP100 locked; optional GWP20 comparative</t>
  </si>
  <si>
    <t>Methodology Results</t>
  </si>
  <si>
    <t>Total GHG Intensity (gCO₂e/MJ)</t>
  </si>
  <si>
    <t>MGO baseline GFI = 93.3 gCO₂e/MJ.</t>
  </si>
  <si>
    <t>GHG savings</t>
  </si>
  <si>
    <t>No fuel threshold but GFI Trajectory for ships. 
(Baseline 93.3 gCO2e/MJ)</t>
  </si>
  <si>
    <t>Threshold = 70 % savings → E ≤ 28.2 gCO₂e/MJ</t>
  </si>
  <si>
    <t>Total GHG Intensity (kgCO₂e/kg)</t>
  </si>
  <si>
    <t>CORSIA has two calculation tiers: Actual LCA (Doc 07) and Default LCA (Doc 06 pathway lookup). This tool computes Actual LCA</t>
  </si>
  <si>
    <t>CO₂ source eligibility has to be checked separately from the LCA score. A CEF must both meet eligibility criteria AND achieve ≥ 10 % reduction to qualify.</t>
  </si>
  <si>
    <t>This sheet is only applicable when selected product = e-SAF</t>
  </si>
  <si>
    <t>ASTM D7566 Annex A5 amendment (WK96698, expected 2026) will permit MeOH as feedstock for ATJ-SPK at up to 50% blend limit — relevant to ATJ route qualification.</t>
  </si>
  <si>
    <t>ICAO CORSIA — Lifecycle GHG Reduction (e-SAF)</t>
  </si>
  <si>
    <t>≥ 10 % lifecycle GHG reduction → LCA ≤ 80.1 gCO₂eq/MJ SAF (per Doc 05 §2.1; baseline 89 gCO₂eq/MJ Jet-A)</t>
  </si>
  <si>
    <t>IPCC AR5 GWP100 (per Doc 07 default; verify against latest Doc 07 revision)</t>
  </si>
  <si>
    <t>Tool Version: 1.0</t>
  </si>
  <si>
    <t>Date: 2026-11-02</t>
  </si>
  <si>
    <t>Scope: Well-to-wheel / well-to-wake. Further tools have been developed in parallel to determine GHG emissions of hydrogen and ammonia production. Please visit:</t>
  </si>
  <si>
    <t>https://ptx-hub.org/ publication /GHG_intensity_calculators_PtX_products</t>
  </si>
  <si>
    <t>DISCLAIMER: This tool is provided for estimation and planning purposes. Official certification requires verification by accredited bodies per each methodology's rules. The tool developers accept no liability for the results itself or certification outcomes. Users must verify all inputs and factors and potentially check for any updates of methodologies not yet covered by this tool. Furthermore, the tool reflects the regulatory framework as of the release date. As such, any changes after the release date are not reflected by the tool.</t>
  </si>
  <si>
    <t>Allocation factor (manual by user)</t>
  </si>
  <si>
    <t>LCA — Actual</t>
  </si>
  <si>
    <t>Default used in tool 100%, user to adjust as needed following methodology rules</t>
  </si>
  <si>
    <t>GWP AR4</t>
  </si>
  <si>
    <t>GWP AR6</t>
  </si>
  <si>
    <t>IPCC AR4 100-year are used (per Annex V part C point 4 of Dir. 2018/2001)</t>
  </si>
  <si>
    <t>§10.5 Global Warming Potential values (GWP 100)</t>
  </si>
  <si>
    <t>GWP AR5</t>
  </si>
  <si>
    <t>This tool calculates lifecycle GHG intensity of e-methanol (H₂ + CO₂ → MeOH) and e-SAF (H₂ + CO₂ → jet fuel, via Fischer-Tropsch (FT) or Alcohol-to-Jet (ATJ) routes including MTJ). It supports project developers with initial estimations on standard compliance, methodology understanding and level of GHG emissions.</t>
  </si>
  <si>
    <t>Users can override default values in corresponding cells (e.g. EF override cells).</t>
  </si>
  <si>
    <t>WtT — e_td — Transport &amp; distribution</t>
  </si>
  <si>
    <t>Storage and distribution of finished e-SAF (user input).</t>
  </si>
  <si>
    <t>CH4 emissions from combustion (assumed same as baseline)</t>
  </si>
  <si>
    <t>N2O emissions from combustion  (assumed same as baseline)</t>
  </si>
  <si>
    <t>CCS savings term — not applicable under this tool (fixed at 0)</t>
  </si>
  <si>
    <t>IPCC AR4 100-year (per Dir. 2018/2001 Annex V part C point 4)</t>
  </si>
  <si>
    <t>Example for illustration</t>
  </si>
  <si>
    <t>India</t>
  </si>
  <si>
    <t>e-Methanol</t>
  </si>
  <si>
    <t>No</t>
  </si>
  <si>
    <t>not applicable</t>
  </si>
  <si>
    <t>For machinery</t>
  </si>
  <si>
    <t>Not a real 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</si>
</sst>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0.0000"/>
    <numFmt numFmtId="167" formatCode="#,##0.0"/>
    <numFmt numFmtId="168" formatCode="#,##0.0000"/>
    <numFmt numFmtId="169" formatCode="_-* #,##0_-;\-* #,##0_-;_-* &quot;-&quot;??_-;_-@_-"/>
    <numFmt numFmtId="170" formatCode="0.00000"/>
  </numFmts>
  <fonts count="43" x14ac:knownFonts="1">
    <font>
      <sz val="11"/>
      <color theme="1"/>
      <name val="Calibri"/>
      <family val="2"/>
      <scheme val="minor"/>
    </font>
    <font>
      <b/>
      <sz val="16"/>
      <color rgb="FFFFFFFF"/>
      <name val="Calibri"/>
      <family val="2"/>
    </font>
    <font>
      <b/>
      <sz val="11"/>
      <color rgb="FF1F4E79"/>
      <name val="Calibri"/>
      <family val="2"/>
    </font>
    <font>
      <b/>
      <sz val="11"/>
      <color rgb="FFFFFFFF"/>
      <name val="Calibri"/>
      <family val="2"/>
    </font>
    <font>
      <b/>
      <sz val="16"/>
      <color rgb="FF1F4E79"/>
      <name val="Calibri"/>
      <family val="2"/>
    </font>
    <font>
      <sz val="12"/>
      <color rgb="FF2E75B6"/>
      <name val="Calibri"/>
      <family val="2"/>
    </font>
    <font>
      <sz val="11"/>
      <color rgb="FF0000FF"/>
      <name val="Calibri"/>
      <family val="2"/>
    </font>
    <font>
      <sz val="11"/>
      <color rgb="FF008000"/>
      <name val="Calibri"/>
      <family val="2"/>
    </font>
    <font>
      <sz val="11"/>
      <color rgb="FF000000"/>
      <name val="Calibri"/>
      <family val="2"/>
    </font>
    <font>
      <b/>
      <sz val="11"/>
      <color rgb="FF000000"/>
      <name val="Calibri"/>
      <family val="2"/>
    </font>
    <font>
      <b/>
      <sz val="11"/>
      <color rgb="FF008000"/>
      <name val="Calibri"/>
      <family val="2"/>
    </font>
    <font>
      <sz val="10"/>
      <color rgb="FF000000"/>
      <name val="Calibri"/>
      <family val="2"/>
    </font>
    <font>
      <i/>
      <sz val="9"/>
      <color rgb="FF1F4E79"/>
      <name val="Calibri"/>
      <family val="2"/>
    </font>
    <font>
      <b/>
      <i/>
      <sz val="11"/>
      <color rgb="FFFF0000"/>
      <name val="Calibri"/>
      <family val="2"/>
    </font>
    <font>
      <b/>
      <sz val="12"/>
      <color rgb="FF1F4E79"/>
      <name val="Arial"/>
      <family val="2"/>
    </font>
    <font>
      <sz val="10"/>
      <color rgb="FF000000"/>
      <name val="Arial"/>
      <family val="2"/>
    </font>
    <font>
      <i/>
      <sz val="9"/>
      <name val="Arial"/>
      <family val="2"/>
    </font>
    <font>
      <sz val="11"/>
      <color theme="1"/>
      <name val="Calibri"/>
      <family val="2"/>
      <scheme val="minor"/>
    </font>
    <font>
      <sz val="10"/>
      <name val="Arial"/>
      <family val="2"/>
    </font>
    <font>
      <sz val="10"/>
      <color rgb="FF0000FF"/>
      <name val="Arial"/>
      <family val="2"/>
    </font>
    <font>
      <b/>
      <sz val="10"/>
      <color rgb="FF1F4E79"/>
      <name val="Arial"/>
      <family val="2"/>
    </font>
    <font>
      <i/>
      <sz val="9"/>
      <color rgb="FF000000"/>
      <name val="Arial"/>
      <family val="2"/>
    </font>
    <font>
      <i/>
      <vertAlign val="subscript"/>
      <sz val="9"/>
      <color rgb="FF000000"/>
      <name val="Arial"/>
      <family val="2"/>
    </font>
    <font>
      <sz val="10"/>
      <color theme="1"/>
      <name val="Arial"/>
      <family val="2"/>
    </font>
    <font>
      <vertAlign val="subscript"/>
      <sz val="10"/>
      <color rgb="FF000000"/>
      <name val="Arial"/>
      <family val="2"/>
    </font>
    <font>
      <b/>
      <sz val="10"/>
      <color rgb="FF000000"/>
      <name val="Arial"/>
      <family val="2"/>
    </font>
    <font>
      <sz val="10"/>
      <color rgb="FF008000"/>
      <name val="Arial"/>
      <family val="2"/>
    </font>
    <font>
      <sz val="9"/>
      <color rgb="FF000000"/>
      <name val="Arial"/>
      <family val="2"/>
    </font>
    <font>
      <i/>
      <sz val="10"/>
      <color rgb="FF1F4E79"/>
      <name val="Calibri"/>
      <family val="2"/>
      <scheme val="minor"/>
    </font>
    <font>
      <sz val="8"/>
      <name val="Calibri"/>
      <family val="2"/>
      <scheme val="minor"/>
    </font>
    <font>
      <sz val="10"/>
      <color theme="0" tint="-0.14999847407452621"/>
      <name val="Arial"/>
      <family val="2"/>
    </font>
    <font>
      <sz val="11"/>
      <color rgb="FF000000"/>
      <name val="Calibri"/>
      <family val="2"/>
      <scheme val="minor"/>
    </font>
    <font>
      <b/>
      <sz val="10"/>
      <color rgb="FFFFFFFF"/>
      <name val="Arial"/>
      <family val="2"/>
    </font>
    <font>
      <b/>
      <sz val="10"/>
      <color rgb="FF008000"/>
      <name val="Arial"/>
      <family val="2"/>
    </font>
    <font>
      <sz val="10"/>
      <color rgb="FF1F4E79"/>
      <name val="Arial"/>
      <family val="2"/>
    </font>
    <font>
      <sz val="11"/>
      <color rgb="FF1F4E79"/>
      <name val="Calibri"/>
      <family val="2"/>
      <scheme val="minor"/>
    </font>
    <font>
      <b/>
      <sz val="11"/>
      <color rgb="FFFFFFFF"/>
      <name val="Arial"/>
      <family val="2"/>
    </font>
    <font>
      <sz val="9"/>
      <color rgb="FF595959"/>
      <name val="Arial"/>
      <family val="2"/>
    </font>
    <font>
      <b/>
      <sz val="16"/>
      <color rgb="FFFFFFFF"/>
      <name val="Arial"/>
      <family val="2"/>
    </font>
    <font>
      <b/>
      <sz val="11"/>
      <color rgb="FF1F4E79"/>
      <name val="Arial"/>
      <family val="2"/>
    </font>
    <font>
      <i/>
      <sz val="9"/>
      <color theme="1"/>
      <name val="Calibri"/>
      <family val="2"/>
      <scheme val="minor"/>
    </font>
    <font>
      <u/>
      <sz val="11"/>
      <color theme="10"/>
      <name val="Calibri"/>
      <family val="2"/>
      <scheme val="minor"/>
    </font>
    <font>
      <u/>
      <sz val="10"/>
      <color theme="10"/>
      <name val="Arial"/>
      <family val="2"/>
    </font>
  </fonts>
  <fills count="34">
    <fill>
      <patternFill patternType="none"/>
    </fill>
    <fill>
      <patternFill patternType="gray125"/>
    </fill>
    <fill>
      <patternFill patternType="solid">
        <fgColor rgb="FF1F4E79"/>
        <bgColor rgb="FF1F4E79"/>
      </patternFill>
    </fill>
    <fill>
      <patternFill patternType="solid">
        <fgColor rgb="FF2E75B6"/>
        <bgColor rgb="FF2E75B6"/>
      </patternFill>
    </fill>
    <fill>
      <patternFill patternType="solid">
        <fgColor rgb="FFE9F0F7"/>
        <bgColor rgb="FFE9F0F7"/>
      </patternFill>
    </fill>
    <fill>
      <patternFill patternType="solid">
        <fgColor rgb="FFFFF2CC"/>
        <bgColor rgb="FFFFF2CC"/>
      </patternFill>
    </fill>
    <fill>
      <patternFill patternType="solid">
        <fgColor rgb="FFF2F2F2"/>
        <bgColor rgb="FFF2F2F2"/>
      </patternFill>
    </fill>
    <fill>
      <patternFill patternType="solid">
        <fgColor rgb="FFF4B183"/>
        <bgColor rgb="FFF4B183"/>
      </patternFill>
    </fill>
    <fill>
      <patternFill patternType="solid">
        <fgColor rgb="FFF2F6FB"/>
        <bgColor rgb="FFF2F6FB"/>
      </patternFill>
    </fill>
    <fill>
      <patternFill patternType="solid">
        <fgColor rgb="FF1B7A6B"/>
        <bgColor rgb="FF1B7A6B"/>
      </patternFill>
    </fill>
    <fill>
      <patternFill patternType="solid">
        <fgColor rgb="FF0EA5E9"/>
        <bgColor rgb="FF0EA5E9"/>
      </patternFill>
    </fill>
    <fill>
      <patternFill patternType="solid">
        <fgColor rgb="FF595959"/>
        <bgColor rgb="FF595959"/>
      </patternFill>
    </fill>
    <fill>
      <patternFill patternType="solid">
        <fgColor rgb="FFE5F5FD"/>
        <bgColor rgb="FFE5F5FD"/>
      </patternFill>
    </fill>
    <fill>
      <patternFill patternType="solid">
        <fgColor rgb="FFE9F0F7"/>
        <bgColor indexed="64"/>
      </patternFill>
    </fill>
    <fill>
      <patternFill patternType="solid">
        <fgColor theme="0"/>
        <bgColor indexed="64"/>
      </patternFill>
    </fill>
    <fill>
      <patternFill patternType="solid">
        <fgColor rgb="FFF2F2F2"/>
      </patternFill>
    </fill>
    <fill>
      <patternFill patternType="solid">
        <fgColor rgb="FFFFF2CC"/>
        <bgColor indexed="64"/>
      </patternFill>
    </fill>
    <fill>
      <patternFill patternType="solid">
        <fgColor rgb="FFD6E4F0"/>
      </patternFill>
    </fill>
    <fill>
      <patternFill patternType="solid">
        <fgColor rgb="FFE9F0F7"/>
      </patternFill>
    </fill>
    <fill>
      <patternFill patternType="solid">
        <fgColor rgb="FFF2F6FB"/>
        <bgColor indexed="64"/>
      </patternFill>
    </fill>
    <fill>
      <patternFill patternType="solid">
        <fgColor rgb="FFFFF2CC"/>
      </patternFill>
    </fill>
    <fill>
      <patternFill patternType="solid">
        <fgColor rgb="FFFFFFFF"/>
        <bgColor indexed="64"/>
      </patternFill>
    </fill>
    <fill>
      <patternFill patternType="solid">
        <fgColor rgb="FF2E75B6"/>
      </patternFill>
    </fill>
    <fill>
      <patternFill patternType="solid">
        <fgColor rgb="FF2E75B6"/>
        <bgColor indexed="64"/>
      </patternFill>
    </fill>
    <fill>
      <patternFill patternType="solid">
        <fgColor rgb="FFF2F2F2"/>
        <bgColor indexed="64"/>
      </patternFill>
    </fill>
    <fill>
      <patternFill patternType="solid">
        <fgColor rgb="FFF4B183"/>
      </patternFill>
    </fill>
    <fill>
      <patternFill patternType="solid">
        <fgColor rgb="FFF4B183"/>
        <bgColor indexed="64"/>
      </patternFill>
    </fill>
    <fill>
      <patternFill patternType="solid">
        <fgColor rgb="FF1F4E79"/>
      </patternFill>
    </fill>
    <fill>
      <patternFill patternType="solid">
        <fgColor rgb="FF1F4E79"/>
        <bgColor indexed="64"/>
      </patternFill>
    </fill>
    <fill>
      <patternFill patternType="solid">
        <fgColor rgb="FFEBEEF7"/>
      </patternFill>
    </fill>
    <fill>
      <patternFill patternType="solid">
        <fgColor rgb="FFFCEFE1"/>
      </patternFill>
    </fill>
    <fill>
      <patternFill patternType="solid">
        <fgColor rgb="FFFFFFFF"/>
      </patternFill>
    </fill>
    <fill>
      <patternFill patternType="solid">
        <fgColor theme="5"/>
        <bgColor indexed="64"/>
      </patternFill>
    </fill>
    <fill>
      <patternFill patternType="solid">
        <fgColor rgb="FFF7F7F7"/>
      </patternFill>
    </fill>
  </fills>
  <borders count="3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style="thin">
        <color rgb="FF000000"/>
      </right>
      <top style="thin">
        <color auto="1"/>
      </top>
      <bottom/>
      <diagonal/>
    </border>
    <border>
      <left style="thin">
        <color auto="1"/>
      </left>
      <right style="thin">
        <color rgb="FF000000"/>
      </right>
      <top/>
      <bottom/>
      <diagonal/>
    </border>
    <border>
      <left style="thin">
        <color auto="1"/>
      </left>
      <right style="thin">
        <color rgb="FF000000"/>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auto="1"/>
      </bottom>
      <diagonal/>
    </border>
    <border>
      <left style="thin">
        <color auto="1"/>
      </left>
      <right style="thin">
        <color auto="1"/>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rgb="FF000000"/>
      </left>
      <right/>
      <top style="thin">
        <color rgb="FF000000"/>
      </top>
      <bottom/>
      <diagonal/>
    </border>
    <border>
      <left style="thin">
        <color rgb="FF000000"/>
      </left>
      <right/>
      <top/>
      <bottom/>
      <diagonal/>
    </border>
    <border>
      <left style="thin">
        <color auto="1"/>
      </left>
      <right style="thin">
        <color auto="1"/>
      </right>
      <top/>
      <bottom/>
      <diagonal/>
    </border>
  </borders>
  <cellStyleXfs count="4">
    <xf numFmtId="0" fontId="0" fillId="0" borderId="0"/>
    <xf numFmtId="9" fontId="17" fillId="0" borderId="0" applyFont="0" applyFill="0" applyBorder="0" applyAlignment="0" applyProtection="0"/>
    <xf numFmtId="43" fontId="17" fillId="0" borderId="0"/>
    <xf numFmtId="0" fontId="41" fillId="0" borderId="0" applyNumberFormat="0" applyFill="0" applyBorder="0" applyAlignment="0" applyProtection="0"/>
  </cellStyleXfs>
  <cellXfs count="291">
    <xf numFmtId="0" fontId="0" fillId="0" borderId="0" xfId="0"/>
    <xf numFmtId="0" fontId="0" fillId="14" borderId="0" xfId="0" applyFill="1"/>
    <xf numFmtId="0" fontId="36" fillId="27"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xf numFmtId="0" fontId="15" fillId="0" borderId="5" xfId="0" applyFont="1" applyBorder="1" applyAlignment="1">
      <alignment horizontal="center" vertical="center" wrapText="1"/>
    </xf>
    <xf numFmtId="0" fontId="15" fillId="0" borderId="9" xfId="0" applyFont="1" applyBorder="1" applyAlignment="1">
      <alignment horizontal="center" vertical="center" wrapText="1"/>
    </xf>
    <xf numFmtId="0" fontId="0" fillId="0" borderId="1" xfId="0" applyBorder="1" applyAlignment="1">
      <alignment horizontal="center" vertical="center" wrapText="1"/>
    </xf>
    <xf numFmtId="0" fontId="10" fillId="0" borderId="1" xfId="0" applyFont="1" applyBorder="1" applyAlignment="1">
      <alignment horizontal="center"/>
    </xf>
    <xf numFmtId="0" fontId="3" fillId="3" borderId="1" xfId="0" applyFont="1" applyFill="1" applyBorder="1" applyAlignment="1">
      <alignment horizontal="center" vertical="center"/>
    </xf>
    <xf numFmtId="0" fontId="32" fillId="3" borderId="1" xfId="0" applyFont="1" applyFill="1" applyBorder="1" applyAlignment="1">
      <alignment horizontal="center" vertical="center" wrapText="1"/>
    </xf>
    <xf numFmtId="0" fontId="21" fillId="0" borderId="1" xfId="0" applyFont="1" applyBorder="1" applyAlignment="1">
      <alignment horizontal="left" vertical="center" wrapText="1"/>
    </xf>
    <xf numFmtId="0" fontId="32" fillId="22" borderId="1" xfId="0" applyFont="1" applyFill="1" applyBorder="1" applyAlignment="1">
      <alignment horizontal="center" vertical="center" wrapText="1"/>
    </xf>
    <xf numFmtId="0" fontId="4" fillId="0" borderId="0" xfId="0" applyFont="1"/>
    <xf numFmtId="0" fontId="5" fillId="0" borderId="0" xfId="0" applyFont="1"/>
    <xf numFmtId="0" fontId="14" fillId="13" borderId="1" xfId="0" applyFont="1" applyFill="1" applyBorder="1" applyAlignment="1">
      <alignment vertical="center"/>
    </xf>
    <xf numFmtId="0" fontId="18" fillId="0" borderId="0" xfId="0" applyFont="1" applyAlignment="1">
      <alignment vertical="top" wrapText="1"/>
    </xf>
    <xf numFmtId="0" fontId="18" fillId="0" borderId="0" xfId="0" applyFont="1"/>
    <xf numFmtId="0" fontId="42" fillId="14" borderId="0" xfId="3" applyFont="1" applyFill="1" applyBorder="1" applyProtection="1"/>
    <xf numFmtId="0" fontId="23" fillId="0" borderId="0" xfId="0" applyFont="1"/>
    <xf numFmtId="0" fontId="18" fillId="0" borderId="0" xfId="0" applyFont="1" applyAlignment="1">
      <alignment vertical="center" wrapText="1"/>
    </xf>
    <xf numFmtId="0" fontId="3" fillId="3" borderId="0" xfId="0" applyFont="1" applyFill="1" applyAlignment="1">
      <alignment horizontal="center" vertical="center" wrapText="1"/>
    </xf>
    <xf numFmtId="0" fontId="15" fillId="0" borderId="1" xfId="0" applyFont="1" applyBorder="1" applyAlignment="1">
      <alignment horizontal="left" vertical="center" wrapText="1"/>
    </xf>
    <xf numFmtId="0" fontId="6" fillId="5" borderId="1" xfId="0" applyFont="1" applyFill="1" applyBorder="1" applyAlignment="1" applyProtection="1">
      <alignment horizontal="center" vertical="center"/>
      <protection locked="0"/>
    </xf>
    <xf numFmtId="0" fontId="18" fillId="0" borderId="3" xfId="0" applyFont="1" applyBorder="1" applyAlignment="1">
      <alignment horizontal="center" vertical="center"/>
    </xf>
    <xf numFmtId="169" fontId="15" fillId="0" borderId="2" xfId="0" applyNumberFormat="1" applyFont="1" applyBorder="1" applyAlignment="1">
      <alignment horizontal="center" vertical="center"/>
    </xf>
    <xf numFmtId="0" fontId="19" fillId="5" borderId="8" xfId="0" applyFont="1" applyFill="1" applyBorder="1" applyAlignment="1" applyProtection="1">
      <alignment horizontal="center" vertical="center" wrapText="1"/>
      <protection locked="0"/>
    </xf>
    <xf numFmtId="0" fontId="16" fillId="0" borderId="2" xfId="0" applyFont="1" applyBorder="1" applyAlignment="1">
      <alignment vertical="center" wrapText="1"/>
    </xf>
    <xf numFmtId="0" fontId="18" fillId="0" borderId="4" xfId="0" applyFont="1" applyBorder="1" applyAlignment="1">
      <alignment horizontal="center" vertical="center"/>
    </xf>
    <xf numFmtId="169" fontId="15" fillId="0" borderId="5" xfId="0" applyNumberFormat="1"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5" fillId="0" borderId="13" xfId="0" applyFont="1" applyBorder="1" applyAlignment="1">
      <alignment horizontal="left" vertical="center" wrapText="1"/>
    </xf>
    <xf numFmtId="0" fontId="6" fillId="5" borderId="13" xfId="0" applyFont="1" applyFill="1" applyBorder="1" applyAlignment="1" applyProtection="1">
      <alignment horizontal="center" vertical="center"/>
      <protection locked="0"/>
    </xf>
    <xf numFmtId="0" fontId="18" fillId="0" borderId="13" xfId="0" applyFont="1" applyBorder="1" applyAlignment="1">
      <alignment horizontal="center" vertical="center"/>
    </xf>
    <xf numFmtId="169" fontId="15" fillId="0" borderId="14" xfId="0" applyNumberFormat="1" applyFont="1" applyBorder="1" applyAlignment="1">
      <alignment horizontal="center" vertical="center"/>
    </xf>
    <xf numFmtId="0" fontId="19" fillId="5" borderId="7" xfId="0" applyFont="1" applyFill="1" applyBorder="1" applyAlignment="1" applyProtection="1">
      <alignment horizontal="center" vertical="center" wrapText="1"/>
      <protection locked="0"/>
    </xf>
    <xf numFmtId="0" fontId="16" fillId="0" borderId="15" xfId="0" applyFont="1" applyBorder="1" applyAlignment="1">
      <alignment vertical="center" wrapText="1"/>
    </xf>
    <xf numFmtId="0" fontId="18" fillId="0" borderId="1" xfId="0" applyFont="1" applyBorder="1" applyAlignment="1">
      <alignment horizontal="center" vertical="center"/>
    </xf>
    <xf numFmtId="169" fontId="15" fillId="0" borderId="1" xfId="0" applyNumberFormat="1" applyFont="1" applyBorder="1" applyAlignment="1">
      <alignment horizontal="center" vertical="center"/>
    </xf>
    <xf numFmtId="0" fontId="19" fillId="5" borderId="1" xfId="0" applyFont="1" applyFill="1" applyBorder="1" applyAlignment="1" applyProtection="1">
      <alignment horizontal="center" vertical="center" wrapText="1"/>
      <protection locked="0"/>
    </xf>
    <xf numFmtId="0" fontId="16" fillId="0" borderId="1" xfId="0" applyFont="1" applyBorder="1" applyAlignment="1">
      <alignment vertical="center" wrapText="1"/>
    </xf>
    <xf numFmtId="0" fontId="19" fillId="14" borderId="0" xfId="0" applyFont="1" applyFill="1"/>
    <xf numFmtId="3" fontId="19" fillId="5" borderId="6" xfId="0" applyNumberFormat="1" applyFont="1" applyFill="1" applyBorder="1" applyAlignment="1" applyProtection="1">
      <alignment horizontal="right" vertical="center" wrapText="1"/>
      <protection locked="0"/>
    </xf>
    <xf numFmtId="0" fontId="7" fillId="0" borderId="1" xfId="0" applyFont="1" applyBorder="1" applyAlignment="1">
      <alignment horizontal="center" vertical="center"/>
    </xf>
    <xf numFmtId="0" fontId="19" fillId="16" borderId="1" xfId="0" applyFont="1" applyFill="1" applyBorder="1" applyAlignment="1" applyProtection="1">
      <alignment horizontal="center" vertical="center"/>
      <protection locked="0"/>
    </xf>
    <xf numFmtId="0" fontId="21" fillId="0" borderId="5" xfId="0" applyFont="1" applyBorder="1" applyAlignment="1">
      <alignment horizontal="left" vertical="center" wrapText="1"/>
    </xf>
    <xf numFmtId="9" fontId="19" fillId="5" borderId="7" xfId="1" applyFont="1" applyFill="1" applyBorder="1" applyAlignment="1" applyProtection="1">
      <alignment horizontal="right" vertical="center" wrapText="1"/>
      <protection locked="0"/>
    </xf>
    <xf numFmtId="3" fontId="19" fillId="5" borderId="11" xfId="0" applyNumberFormat="1" applyFont="1" applyFill="1" applyBorder="1" applyAlignment="1" applyProtection="1">
      <alignment horizontal="right" vertical="center" wrapText="1"/>
      <protection locked="0"/>
    </xf>
    <xf numFmtId="0" fontId="23" fillId="14" borderId="0" xfId="0" applyFont="1" applyFill="1"/>
    <xf numFmtId="165" fontId="19" fillId="5" borderId="4" xfId="0" applyNumberFormat="1" applyFont="1" applyFill="1" applyBorder="1" applyAlignment="1" applyProtection="1">
      <alignment horizontal="right" vertical="center" wrapText="1"/>
      <protection locked="0"/>
    </xf>
    <xf numFmtId="0" fontId="19" fillId="5" borderId="6" xfId="0" applyFont="1" applyFill="1" applyBorder="1" applyAlignment="1" applyProtection="1">
      <alignment horizontal="center" vertical="center" wrapText="1"/>
      <protection locked="0"/>
    </xf>
    <xf numFmtId="0" fontId="18" fillId="0" borderId="1" xfId="0" applyFont="1" applyBorder="1"/>
    <xf numFmtId="3" fontId="19" fillId="5" borderId="1" xfId="0" applyNumberFormat="1" applyFont="1" applyFill="1" applyBorder="1" applyAlignment="1" applyProtection="1">
      <alignment horizontal="right" vertical="center" wrapText="1"/>
      <protection locked="0"/>
    </xf>
    <xf numFmtId="0" fontId="6" fillId="5" borderId="1" xfId="0" applyFont="1" applyFill="1" applyBorder="1" applyProtection="1">
      <protection locked="0"/>
    </xf>
    <xf numFmtId="167" fontId="8" fillId="0" borderId="1" xfId="0" applyNumberFormat="1" applyFont="1" applyBorder="1"/>
    <xf numFmtId="0" fontId="16" fillId="0" borderId="5" xfId="0" applyFont="1" applyBorder="1" applyAlignment="1">
      <alignment vertical="center" wrapText="1"/>
    </xf>
    <xf numFmtId="0" fontId="25" fillId="18" borderId="5" xfId="0" applyFont="1" applyFill="1" applyBorder="1" applyAlignment="1">
      <alignment horizontal="left" vertical="center" wrapText="1"/>
    </xf>
    <xf numFmtId="0" fontId="25" fillId="18" borderId="9" xfId="0" applyFont="1" applyFill="1" applyBorder="1" applyAlignment="1">
      <alignment horizontal="left" vertical="center" wrapText="1"/>
    </xf>
    <xf numFmtId="0" fontId="25" fillId="18" borderId="1" xfId="0" applyFont="1" applyFill="1" applyBorder="1" applyAlignment="1">
      <alignment horizontal="left" vertical="center" wrapText="1"/>
    </xf>
    <xf numFmtId="0" fontId="25" fillId="15" borderId="1" xfId="0" applyFont="1" applyFill="1" applyBorder="1" applyAlignment="1">
      <alignment horizontal="left" vertical="center" wrapText="1"/>
    </xf>
    <xf numFmtId="3" fontId="26" fillId="15" borderId="1" xfId="0" applyNumberFormat="1" applyFont="1" applyFill="1" applyBorder="1" applyAlignment="1">
      <alignment horizontal="right" vertical="center" wrapText="1"/>
    </xf>
    <xf numFmtId="0" fontId="15" fillId="0" borderId="1" xfId="0" quotePrefix="1" applyFont="1" applyBorder="1" applyAlignment="1">
      <alignment horizontal="center" vertical="center" wrapText="1"/>
    </xf>
    <xf numFmtId="3" fontId="26" fillId="0" borderId="1" xfId="0" quotePrefix="1" applyNumberFormat="1" applyFont="1" applyBorder="1" applyAlignment="1">
      <alignment horizontal="right" vertical="center" wrapText="1"/>
    </xf>
    <xf numFmtId="0" fontId="7" fillId="0" borderId="1" xfId="0" applyFont="1" applyBorder="1" applyAlignment="1">
      <alignment horizontal="right" vertical="center"/>
    </xf>
    <xf numFmtId="0" fontId="6" fillId="5" borderId="1" xfId="0" applyFont="1" applyFill="1" applyBorder="1" applyAlignment="1" applyProtection="1">
      <alignment horizontal="right" vertical="center"/>
      <protection locked="0"/>
    </xf>
    <xf numFmtId="0" fontId="19" fillId="20" borderId="1" xfId="0" applyFont="1" applyFill="1" applyBorder="1" applyAlignment="1" applyProtection="1">
      <alignment horizontal="center" vertical="center"/>
      <protection locked="0"/>
    </xf>
    <xf numFmtId="168" fontId="7" fillId="0" borderId="1" xfId="0" applyNumberFormat="1" applyFont="1" applyBorder="1" applyAlignment="1">
      <alignment horizontal="right" vertical="center"/>
    </xf>
    <xf numFmtId="3" fontId="7" fillId="0" borderId="1" xfId="0" applyNumberFormat="1" applyFont="1" applyBorder="1" applyAlignment="1">
      <alignment horizontal="right" vertical="center"/>
    </xf>
    <xf numFmtId="165" fontId="7" fillId="0" borderId="1" xfId="0" applyNumberFormat="1" applyFont="1" applyBorder="1" applyAlignment="1">
      <alignment horizontal="right" vertical="center"/>
    </xf>
    <xf numFmtId="3" fontId="26" fillId="0" borderId="1" xfId="0" applyNumberFormat="1" applyFont="1" applyBorder="1" applyAlignment="1">
      <alignment horizontal="right" vertical="center" wrapText="1"/>
    </xf>
    <xf numFmtId="2" fontId="7" fillId="0" borderId="1" xfId="0" applyNumberFormat="1" applyFont="1" applyBorder="1" applyAlignment="1">
      <alignment horizontal="right" vertical="center"/>
    </xf>
    <xf numFmtId="0" fontId="7" fillId="0" borderId="1" xfId="0" applyFont="1" applyBorder="1" applyAlignment="1">
      <alignment vertical="center"/>
    </xf>
    <xf numFmtId="0" fontId="6" fillId="5" borderId="1" xfId="0" applyFont="1" applyFill="1" applyBorder="1" applyAlignment="1" applyProtection="1">
      <alignment vertical="center"/>
      <protection locked="0"/>
    </xf>
    <xf numFmtId="168" fontId="7" fillId="0" borderId="1" xfId="0" applyNumberFormat="1" applyFont="1" applyBorder="1" applyAlignment="1">
      <alignment vertical="center"/>
    </xf>
    <xf numFmtId="0" fontId="9" fillId="6" borderId="1" xfId="0" applyFont="1" applyFill="1" applyBorder="1"/>
    <xf numFmtId="0" fontId="0" fillId="6" borderId="1" xfId="0" applyFill="1" applyBorder="1" applyAlignment="1">
      <alignment horizontal="center" vertical="center"/>
    </xf>
    <xf numFmtId="0" fontId="0" fillId="6" borderId="1" xfId="0" applyFill="1" applyBorder="1"/>
    <xf numFmtId="166" fontId="10" fillId="6" borderId="1" xfId="0" applyNumberFormat="1" applyFont="1" applyFill="1" applyBorder="1"/>
    <xf numFmtId="0" fontId="15" fillId="0" borderId="5" xfId="0" applyFont="1" applyBorder="1" applyAlignment="1">
      <alignment horizontal="left" vertical="center" wrapText="1"/>
    </xf>
    <xf numFmtId="166" fontId="19" fillId="20" borderId="5" xfId="2" applyNumberFormat="1" applyFont="1" applyFill="1" applyBorder="1" applyAlignment="1" applyProtection="1">
      <alignment horizontal="right" vertical="center"/>
      <protection locked="0"/>
    </xf>
    <xf numFmtId="164" fontId="19" fillId="20" borderId="5" xfId="2" applyNumberFormat="1" applyFont="1" applyFill="1" applyBorder="1" applyAlignment="1" applyProtection="1">
      <alignment vertical="center"/>
      <protection locked="0"/>
    </xf>
    <xf numFmtId="0" fontId="19" fillId="20" borderId="17" xfId="0" applyFont="1" applyFill="1" applyBorder="1" applyAlignment="1" applyProtection="1">
      <alignment horizontal="center" vertical="center"/>
      <protection locked="0"/>
    </xf>
    <xf numFmtId="166" fontId="26" fillId="0" borderId="5" xfId="0" applyNumberFormat="1" applyFont="1" applyBorder="1" applyAlignment="1">
      <alignment horizontal="right" vertical="center" wrapText="1"/>
    </xf>
    <xf numFmtId="0" fontId="25" fillId="15" borderId="5" xfId="0" applyFont="1" applyFill="1" applyBorder="1" applyAlignment="1">
      <alignment horizontal="left" vertical="center" wrapText="1"/>
    </xf>
    <xf numFmtId="0" fontId="15" fillId="15" borderId="5" xfId="0" applyFont="1" applyFill="1" applyBorder="1" applyAlignment="1">
      <alignment horizontal="center" vertical="center" wrapText="1"/>
    </xf>
    <xf numFmtId="0" fontId="15" fillId="15" borderId="5" xfId="0" applyFont="1" applyFill="1" applyBorder="1" applyAlignment="1">
      <alignment horizontal="left" vertical="center" wrapText="1"/>
    </xf>
    <xf numFmtId="0" fontId="0" fillId="15" borderId="5" xfId="0" applyFill="1" applyBorder="1"/>
    <xf numFmtId="0" fontId="31" fillId="24" borderId="5" xfId="0" applyFont="1" applyFill="1" applyBorder="1"/>
    <xf numFmtId="166" fontId="33" fillId="15" borderId="5" xfId="0" applyNumberFormat="1" applyFont="1" applyFill="1" applyBorder="1" applyAlignment="1">
      <alignment horizontal="right" vertical="center" wrapText="1"/>
    </xf>
    <xf numFmtId="0" fontId="7" fillId="0" borderId="1" xfId="0" applyFont="1" applyBorder="1"/>
    <xf numFmtId="0" fontId="0" fillId="0" borderId="1" xfId="0" applyBorder="1" applyAlignment="1">
      <alignment wrapText="1"/>
    </xf>
    <xf numFmtId="166" fontId="7" fillId="0" borderId="1" xfId="0" applyNumberFormat="1" applyFont="1" applyBorder="1" applyAlignment="1">
      <alignment vertical="center"/>
    </xf>
    <xf numFmtId="0" fontId="14" fillId="25" borderId="5" xfId="0" applyFont="1" applyFill="1" applyBorder="1" applyAlignment="1">
      <alignment horizontal="left" vertical="center" wrapText="1"/>
    </xf>
    <xf numFmtId="0" fontId="34" fillId="25" borderId="5" xfId="0" applyFont="1" applyFill="1" applyBorder="1" applyAlignment="1">
      <alignment horizontal="center" vertical="center" wrapText="1"/>
    </xf>
    <xf numFmtId="0" fontId="34" fillId="25" borderId="5" xfId="0" applyFont="1" applyFill="1" applyBorder="1" applyAlignment="1">
      <alignment horizontal="left" vertical="center" wrapText="1"/>
    </xf>
    <xf numFmtId="0" fontId="35" fillId="25" borderId="5" xfId="0" applyFont="1" applyFill="1" applyBorder="1"/>
    <xf numFmtId="0" fontId="35" fillId="26" borderId="5" xfId="0" applyFont="1" applyFill="1" applyBorder="1"/>
    <xf numFmtId="0" fontId="35" fillId="26" borderId="5" xfId="0" applyFont="1" applyFill="1" applyBorder="1" applyAlignment="1">
      <alignment horizontal="right" vertical="center"/>
    </xf>
    <xf numFmtId="9" fontId="19" fillId="20" borderId="17" xfId="1" applyFont="1" applyFill="1" applyBorder="1" applyAlignment="1" applyProtection="1">
      <alignment horizontal="center" vertical="center"/>
      <protection locked="0"/>
    </xf>
    <xf numFmtId="166" fontId="14" fillId="25" borderId="5" xfId="0" applyNumberFormat="1" applyFont="1" applyFill="1" applyBorder="1" applyAlignment="1">
      <alignment horizontal="right" vertical="center" wrapText="1"/>
    </xf>
    <xf numFmtId="0" fontId="35" fillId="26" borderId="5" xfId="0" applyFont="1" applyFill="1" applyBorder="1" applyAlignment="1">
      <alignment horizontal="center" vertical="center"/>
    </xf>
    <xf numFmtId="0" fontId="27" fillId="0" borderId="5" xfId="0" applyFont="1" applyBorder="1" applyAlignment="1">
      <alignment horizontal="left" vertical="center" wrapText="1"/>
    </xf>
    <xf numFmtId="2" fontId="26" fillId="0" borderId="5" xfId="0" applyNumberFormat="1" applyFont="1" applyBorder="1" applyAlignment="1">
      <alignment horizontal="right" vertical="center" wrapText="1"/>
    </xf>
    <xf numFmtId="0" fontId="14" fillId="26" borderId="9" xfId="0" applyFont="1" applyFill="1" applyBorder="1" applyAlignment="1">
      <alignment horizontal="left" vertical="center" wrapText="1"/>
    </xf>
    <xf numFmtId="0" fontId="34" fillId="25" borderId="9" xfId="0" applyFont="1" applyFill="1" applyBorder="1" applyAlignment="1">
      <alignment horizontal="center" vertical="center" wrapText="1"/>
    </xf>
    <xf numFmtId="0" fontId="34" fillId="25" borderId="9" xfId="0" applyFont="1" applyFill="1" applyBorder="1" applyAlignment="1">
      <alignment horizontal="left" vertical="center" wrapText="1"/>
    </xf>
    <xf numFmtId="0" fontId="35" fillId="25" borderId="9" xfId="0" applyFont="1" applyFill="1" applyBorder="1"/>
    <xf numFmtId="0" fontId="35" fillId="26" borderId="9" xfId="0" applyFont="1" applyFill="1" applyBorder="1"/>
    <xf numFmtId="10" fontId="14" fillId="25" borderId="9" xfId="0" applyNumberFormat="1" applyFont="1" applyFill="1" applyBorder="1" applyAlignment="1">
      <alignment horizontal="right" vertical="center" wrapText="1"/>
    </xf>
    <xf numFmtId="0" fontId="14" fillId="26" borderId="1" xfId="0" applyFont="1" applyFill="1" applyBorder="1" applyAlignment="1">
      <alignment horizontal="left" vertical="center" wrapText="1"/>
    </xf>
    <xf numFmtId="0" fontId="34" fillId="26" borderId="1" xfId="0" applyFont="1" applyFill="1" applyBorder="1" applyAlignment="1">
      <alignment horizontal="left" vertical="center" wrapText="1"/>
    </xf>
    <xf numFmtId="0" fontId="35" fillId="26" borderId="1" xfId="0" applyFont="1" applyFill="1" applyBorder="1"/>
    <xf numFmtId="0" fontId="14" fillId="26" borderId="1" xfId="0" applyFont="1" applyFill="1" applyBorder="1" applyAlignment="1">
      <alignment horizontal="center" vertical="center" wrapText="1"/>
    </xf>
    <xf numFmtId="0" fontId="15" fillId="0" borderId="5" xfId="0" quotePrefix="1" applyFont="1" applyBorder="1" applyAlignment="1">
      <alignment horizontal="center" vertical="center" wrapText="1"/>
    </xf>
    <xf numFmtId="0" fontId="15" fillId="0" borderId="28" xfId="0" quotePrefix="1" applyFont="1" applyBorder="1" applyAlignment="1">
      <alignment horizontal="center" vertical="center" wrapText="1"/>
    </xf>
    <xf numFmtId="0" fontId="15" fillId="0" borderId="2" xfId="0" applyFont="1" applyBorder="1" applyAlignment="1">
      <alignment horizontal="center" vertical="center" wrapText="1"/>
    </xf>
    <xf numFmtId="0" fontId="15" fillId="0" borderId="9" xfId="0" quotePrefix="1" applyFont="1" applyBorder="1" applyAlignment="1">
      <alignment horizontal="center" vertical="center" wrapText="1"/>
    </xf>
    <xf numFmtId="0" fontId="18" fillId="0" borderId="1" xfId="0" applyFont="1" applyBorder="1" applyAlignment="1">
      <alignment horizontal="left" vertical="center" wrapText="1"/>
    </xf>
    <xf numFmtId="166" fontId="19" fillId="20" borderId="1" xfId="2" applyNumberFormat="1" applyFont="1" applyFill="1" applyBorder="1" applyAlignment="1" applyProtection="1">
      <alignment horizontal="right" vertical="center"/>
      <protection locked="0"/>
    </xf>
    <xf numFmtId="3" fontId="19" fillId="20" borderId="1" xfId="2" applyNumberFormat="1" applyFont="1" applyFill="1" applyBorder="1" applyAlignment="1" applyProtection="1">
      <alignment vertical="center"/>
      <protection locked="0"/>
    </xf>
    <xf numFmtId="0" fontId="37" fillId="0" borderId="1" xfId="0" applyFont="1" applyBorder="1" applyAlignment="1">
      <alignment horizontal="left" vertical="center" wrapText="1"/>
    </xf>
    <xf numFmtId="166" fontId="26" fillId="0" borderId="1" xfId="0" applyNumberFormat="1" applyFont="1" applyBorder="1" applyAlignment="1">
      <alignment horizontal="right" vertical="center" wrapText="1"/>
    </xf>
    <xf numFmtId="168" fontId="19" fillId="20" borderId="1" xfId="2" applyNumberFormat="1" applyFont="1" applyFill="1" applyBorder="1" applyAlignment="1" applyProtection="1">
      <alignment vertical="center"/>
      <protection locked="0"/>
    </xf>
    <xf numFmtId="0" fontId="14" fillId="7" borderId="9" xfId="0" applyFont="1" applyFill="1" applyBorder="1" applyAlignment="1">
      <alignment horizontal="left" vertical="center" wrapText="1"/>
    </xf>
    <xf numFmtId="0" fontId="15" fillId="7" borderId="9" xfId="0" applyFont="1" applyFill="1" applyBorder="1"/>
    <xf numFmtId="3" fontId="15" fillId="7" borderId="9" xfId="0" applyNumberFormat="1" applyFont="1" applyFill="1" applyBorder="1"/>
    <xf numFmtId="0" fontId="15" fillId="7" borderId="5" xfId="0" applyFont="1" applyFill="1" applyBorder="1"/>
    <xf numFmtId="0" fontId="14" fillId="7" borderId="5" xfId="0" applyFont="1" applyFill="1" applyBorder="1" applyAlignment="1">
      <alignment horizontal="left" vertical="center" wrapText="1"/>
    </xf>
    <xf numFmtId="3" fontId="15" fillId="7" borderId="5" xfId="0" applyNumberFormat="1" applyFont="1" applyFill="1" applyBorder="1"/>
    <xf numFmtId="0" fontId="15" fillId="0" borderId="8" xfId="0" applyFont="1" applyBorder="1" applyAlignment="1">
      <alignment horizontal="center" vertical="center" wrapText="1"/>
    </xf>
    <xf numFmtId="0" fontId="18" fillId="0" borderId="1" xfId="0" applyFont="1" applyBorder="1" applyAlignment="1">
      <alignment horizontal="right" vertical="center"/>
    </xf>
    <xf numFmtId="2" fontId="26" fillId="0" borderId="9" xfId="0" applyNumberFormat="1" applyFont="1" applyBorder="1" applyAlignment="1">
      <alignment horizontal="right" vertical="center" wrapText="1"/>
    </xf>
    <xf numFmtId="0" fontId="14" fillId="7" borderId="2" xfId="0" applyFont="1" applyFill="1" applyBorder="1" applyAlignment="1">
      <alignment horizontal="left" vertical="center" wrapText="1"/>
    </xf>
    <xf numFmtId="0" fontId="15" fillId="7" borderId="2" xfId="0" applyFont="1" applyFill="1" applyBorder="1"/>
    <xf numFmtId="3" fontId="15" fillId="7" borderId="2" xfId="0" applyNumberFormat="1" applyFont="1" applyFill="1" applyBorder="1"/>
    <xf numFmtId="0" fontId="35" fillId="26" borderId="4" xfId="0" applyFont="1" applyFill="1" applyBorder="1" applyAlignment="1">
      <alignment horizontal="right" vertical="center"/>
    </xf>
    <xf numFmtId="10" fontId="14" fillId="25" borderId="1" xfId="0" applyNumberFormat="1" applyFont="1" applyFill="1" applyBorder="1" applyAlignment="1">
      <alignment horizontal="right" vertical="center" wrapText="1"/>
    </xf>
    <xf numFmtId="0" fontId="15" fillId="0" borderId="4" xfId="0" applyFont="1" applyBorder="1" applyAlignment="1">
      <alignment horizontal="left" vertical="center" wrapText="1"/>
    </xf>
    <xf numFmtId="0" fontId="15" fillId="0" borderId="0" xfId="0" applyFont="1" applyAlignment="1">
      <alignment horizontal="left" vertical="center" wrapText="1"/>
    </xf>
    <xf numFmtId="0" fontId="0" fillId="0" borderId="24" xfId="0" applyBorder="1" applyAlignment="1">
      <alignment wrapText="1"/>
    </xf>
    <xf numFmtId="0" fontId="18" fillId="0" borderId="1" xfId="0" applyFont="1" applyBorder="1" applyAlignment="1">
      <alignment horizontal="center" vertical="center" wrapText="1"/>
    </xf>
    <xf numFmtId="9" fontId="14" fillId="25" borderId="5" xfId="1" applyFont="1" applyFill="1" applyBorder="1" applyAlignment="1" applyProtection="1">
      <alignment horizontal="right" vertical="center" wrapText="1"/>
    </xf>
    <xf numFmtId="0" fontId="40" fillId="0" borderId="4" xfId="0" applyFont="1" applyBorder="1" applyAlignment="1">
      <alignment horizontal="right"/>
    </xf>
    <xf numFmtId="0" fontId="21" fillId="33" borderId="5" xfId="0" applyFont="1" applyFill="1" applyBorder="1" applyAlignment="1">
      <alignment horizontal="left" vertical="center" wrapText="1"/>
    </xf>
    <xf numFmtId="0" fontId="40" fillId="14" borderId="0" xfId="0" applyFont="1" applyFill="1" applyAlignment="1">
      <alignment horizontal="right"/>
    </xf>
    <xf numFmtId="0" fontId="10" fillId="14" borderId="0" xfId="0" applyFont="1" applyFill="1" applyAlignment="1">
      <alignment horizontal="center"/>
    </xf>
    <xf numFmtId="0" fontId="21" fillId="14" borderId="0" xfId="0" applyFont="1" applyFill="1" applyAlignment="1">
      <alignment horizontal="left" vertical="center" wrapText="1"/>
    </xf>
    <xf numFmtId="0" fontId="3" fillId="2" borderId="0" xfId="0" applyFont="1" applyFill="1" applyAlignment="1">
      <alignment horizontal="center" vertical="center"/>
    </xf>
    <xf numFmtId="0" fontId="3" fillId="9" borderId="0" xfId="0" applyFont="1" applyFill="1" applyAlignment="1">
      <alignment horizontal="center" vertical="center"/>
    </xf>
    <xf numFmtId="0" fontId="32" fillId="32" borderId="5" xfId="0" applyFont="1" applyFill="1" applyBorder="1" applyAlignment="1">
      <alignment horizontal="center" vertical="center" wrapText="1"/>
    </xf>
    <xf numFmtId="0" fontId="3" fillId="10" borderId="0" xfId="0" applyFont="1" applyFill="1" applyAlignment="1">
      <alignment horizontal="center" vertical="center"/>
    </xf>
    <xf numFmtId="0" fontId="3" fillId="11" borderId="0" xfId="0" applyFont="1" applyFill="1" applyAlignment="1">
      <alignment horizontal="center" vertical="center"/>
    </xf>
    <xf numFmtId="0" fontId="39" fillId="25" borderId="4" xfId="0" applyFont="1" applyFill="1" applyBorder="1" applyAlignment="1">
      <alignment horizontal="left" vertical="center" wrapText="1"/>
    </xf>
    <xf numFmtId="166" fontId="10" fillId="7" borderId="1" xfId="0" applyNumberFormat="1" applyFont="1" applyFill="1" applyBorder="1" applyAlignment="1">
      <alignment horizontal="center" vertical="center"/>
    </xf>
    <xf numFmtId="9" fontId="10" fillId="7" borderId="1" xfId="1" applyFont="1" applyFill="1" applyBorder="1" applyAlignment="1" applyProtection="1">
      <alignment horizontal="center" vertical="center"/>
    </xf>
    <xf numFmtId="0" fontId="25" fillId="31" borderId="4" xfId="0" applyFont="1" applyFill="1" applyBorder="1" applyAlignment="1">
      <alignment horizontal="left" vertical="center" wrapText="1"/>
    </xf>
    <xf numFmtId="0" fontId="15" fillId="29" borderId="1" xfId="0" applyFont="1" applyFill="1" applyBorder="1" applyAlignment="1">
      <alignment horizontal="center" vertical="center" wrapText="1"/>
    </xf>
    <xf numFmtId="0" fontId="15" fillId="30"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2" fontId="33" fillId="29" borderId="1" xfId="0" applyNumberFormat="1" applyFont="1" applyFill="1" applyBorder="1" applyAlignment="1">
      <alignment horizontal="center" vertical="center" wrapText="1"/>
    </xf>
    <xf numFmtId="166" fontId="33" fillId="30" borderId="5" xfId="0" applyNumberFormat="1" applyFont="1" applyFill="1" applyBorder="1" applyAlignment="1">
      <alignment horizontal="center" vertical="center" wrapText="1"/>
    </xf>
    <xf numFmtId="166" fontId="33" fillId="12" borderId="5" xfId="0" applyNumberFormat="1" applyFont="1" applyFill="1" applyBorder="1" applyAlignment="1">
      <alignment horizontal="center" vertical="center" wrapText="1"/>
    </xf>
    <xf numFmtId="0" fontId="15" fillId="29" borderId="5" xfId="0" applyFont="1" applyFill="1" applyBorder="1" applyAlignment="1">
      <alignment horizontal="center" vertical="center" wrapText="1"/>
    </xf>
    <xf numFmtId="0" fontId="15" fillId="30" borderId="4" xfId="0" applyFont="1" applyFill="1" applyBorder="1" applyAlignment="1">
      <alignment horizontal="center" vertical="center" wrapText="1"/>
    </xf>
    <xf numFmtId="0" fontId="31" fillId="14" borderId="0" xfId="0" applyFont="1" applyFill="1"/>
    <xf numFmtId="0" fontId="3" fillId="3" borderId="1" xfId="0" applyFont="1" applyFill="1" applyBorder="1" applyAlignment="1">
      <alignment horizontal="center" vertical="center" wrapText="1"/>
    </xf>
    <xf numFmtId="0" fontId="15" fillId="21" borderId="1" xfId="0" applyFont="1" applyFill="1" applyBorder="1" applyAlignment="1">
      <alignment horizontal="left" vertical="center" wrapText="1"/>
    </xf>
    <xf numFmtId="0" fontId="15" fillId="21" borderId="1" xfId="0" applyFont="1" applyFill="1" applyBorder="1" applyAlignment="1">
      <alignment horizontal="center" vertical="center" wrapText="1"/>
    </xf>
    <xf numFmtId="49" fontId="15" fillId="21" borderId="1" xfId="0" applyNumberFormat="1" applyFont="1" applyFill="1" applyBorder="1" applyAlignment="1">
      <alignment horizontal="center" vertical="center" wrapText="1"/>
    </xf>
    <xf numFmtId="164" fontId="15" fillId="0" borderId="1" xfId="0" applyNumberFormat="1" applyFont="1" applyBorder="1" applyAlignment="1">
      <alignment vertical="center"/>
    </xf>
    <xf numFmtId="0" fontId="27" fillId="0" borderId="1" xfId="0" applyFont="1" applyBorder="1" applyAlignment="1">
      <alignment horizontal="center" vertical="center" wrapText="1"/>
    </xf>
    <xf numFmtId="0" fontId="15" fillId="0" borderId="1" xfId="0" applyFont="1" applyBorder="1" applyAlignment="1">
      <alignment vertical="center"/>
    </xf>
    <xf numFmtId="0" fontId="30" fillId="0" borderId="24" xfId="0" applyFont="1" applyBorder="1" applyAlignment="1">
      <alignment wrapText="1"/>
    </xf>
    <xf numFmtId="2" fontId="15" fillId="0" borderId="2" xfId="0" applyNumberFormat="1" applyFont="1" applyBorder="1" applyAlignment="1">
      <alignment vertical="center"/>
    </xf>
    <xf numFmtId="165" fontId="18" fillId="0" borderId="2" xfId="0" applyNumberFormat="1" applyFont="1" applyBorder="1" applyAlignment="1">
      <alignment horizontal="center" vertical="center"/>
    </xf>
    <xf numFmtId="164" fontId="18" fillId="0" borderId="2" xfId="0" applyNumberFormat="1" applyFont="1" applyBorder="1" applyAlignment="1">
      <alignment vertical="center"/>
    </xf>
    <xf numFmtId="164" fontId="18" fillId="0" borderId="2" xfId="0" applyNumberFormat="1" applyFont="1" applyBorder="1" applyAlignment="1">
      <alignment vertical="center" wrapText="1"/>
    </xf>
    <xf numFmtId="0" fontId="27" fillId="0" borderId="2" xfId="0" applyFont="1" applyBorder="1" applyAlignment="1">
      <alignment vertical="center" wrapText="1"/>
    </xf>
    <xf numFmtId="0" fontId="18" fillId="0" borderId="5" xfId="0" applyFont="1" applyBorder="1" applyAlignment="1">
      <alignment vertical="center" wrapText="1"/>
    </xf>
    <xf numFmtId="2" fontId="15" fillId="0" borderId="5" xfId="0" applyNumberFormat="1" applyFont="1" applyBorder="1" applyAlignment="1">
      <alignment vertical="center"/>
    </xf>
    <xf numFmtId="165" fontId="18" fillId="0" borderId="5" xfId="0" applyNumberFormat="1" applyFont="1" applyBorder="1" applyAlignment="1">
      <alignment horizontal="center" vertical="center"/>
    </xf>
    <xf numFmtId="164" fontId="18" fillId="0" borderId="5" xfId="0" applyNumberFormat="1" applyFont="1" applyBorder="1" applyAlignment="1">
      <alignment vertical="center"/>
    </xf>
    <xf numFmtId="164" fontId="18" fillId="0" borderId="5" xfId="0" applyNumberFormat="1" applyFont="1" applyBorder="1" applyAlignment="1">
      <alignment vertical="center" wrapText="1"/>
    </xf>
    <xf numFmtId="0" fontId="27" fillId="0" borderId="5" xfId="0" applyFont="1" applyBorder="1" applyAlignment="1">
      <alignment vertical="center" wrapText="1"/>
    </xf>
    <xf numFmtId="0" fontId="30" fillId="0" borderId="1" xfId="0" applyFont="1" applyBorder="1" applyAlignment="1">
      <alignment wrapText="1"/>
    </xf>
    <xf numFmtId="165" fontId="15" fillId="0" borderId="5" xfId="0" applyNumberFormat="1" applyFont="1" applyBorder="1" applyAlignment="1">
      <alignment vertical="center"/>
    </xf>
    <xf numFmtId="0" fontId="18" fillId="0" borderId="5" xfId="0" applyFont="1" applyBorder="1" applyAlignment="1">
      <alignment horizontal="center" vertical="center"/>
    </xf>
    <xf numFmtId="0" fontId="18" fillId="0" borderId="5" xfId="0" applyFont="1" applyBorder="1" applyAlignment="1">
      <alignment vertical="center"/>
    </xf>
    <xf numFmtId="164" fontId="15" fillId="0" borderId="1" xfId="0" applyNumberFormat="1" applyFont="1" applyBorder="1" applyAlignment="1">
      <alignment wrapText="1"/>
    </xf>
    <xf numFmtId="0" fontId="23" fillId="0" borderId="1" xfId="0" applyFont="1" applyBorder="1" applyAlignment="1">
      <alignment wrapText="1"/>
    </xf>
    <xf numFmtId="49" fontId="23" fillId="0" borderId="1" xfId="0" applyNumberFormat="1" applyFont="1" applyBorder="1" applyAlignment="1">
      <alignment wrapText="1"/>
    </xf>
    <xf numFmtId="164" fontId="15" fillId="0" borderId="5" xfId="0" applyNumberFormat="1" applyFont="1" applyBorder="1" applyAlignment="1">
      <alignment vertical="center" wrapText="1"/>
    </xf>
    <xf numFmtId="0" fontId="18" fillId="0" borderId="5" xfId="0" applyFont="1" applyBorder="1" applyAlignment="1">
      <alignment horizontal="center" vertical="center" wrapText="1"/>
    </xf>
    <xf numFmtId="49" fontId="18" fillId="0" borderId="5" xfId="0" applyNumberFormat="1" applyFont="1" applyBorder="1" applyAlignment="1">
      <alignment vertical="center" wrapText="1"/>
    </xf>
    <xf numFmtId="0" fontId="15" fillId="0" borderId="5" xfId="0" applyFont="1" applyBorder="1" applyAlignment="1">
      <alignment vertical="center" wrapText="1"/>
    </xf>
    <xf numFmtId="0" fontId="23" fillId="0" borderId="9" xfId="0" applyFont="1" applyBorder="1" applyAlignment="1">
      <alignment wrapText="1"/>
    </xf>
    <xf numFmtId="164" fontId="15" fillId="0" borderId="9" xfId="0" applyNumberFormat="1" applyFont="1" applyBorder="1" applyAlignment="1">
      <alignment wrapText="1"/>
    </xf>
    <xf numFmtId="49" fontId="23" fillId="0" borderId="9" xfId="0" applyNumberFormat="1" applyFont="1" applyBorder="1" applyAlignment="1">
      <alignment wrapText="1"/>
    </xf>
    <xf numFmtId="0" fontId="15" fillId="0" borderId="9" xfId="0" applyFont="1" applyBorder="1" applyAlignment="1">
      <alignment wrapText="1"/>
    </xf>
    <xf numFmtId="164" fontId="15" fillId="0" borderId="24" xfId="0" applyNumberFormat="1" applyFont="1" applyBorder="1" applyAlignment="1">
      <alignment wrapText="1"/>
    </xf>
    <xf numFmtId="0" fontId="23" fillId="0" borderId="24" xfId="0" applyFont="1" applyBorder="1" applyAlignment="1">
      <alignment wrapText="1"/>
    </xf>
    <xf numFmtId="49" fontId="23" fillId="0" borderId="24" xfId="0" applyNumberFormat="1" applyFont="1" applyBorder="1" applyAlignment="1">
      <alignment wrapText="1"/>
    </xf>
    <xf numFmtId="166" fontId="15" fillId="0" borderId="5" xfId="0" applyNumberFormat="1" applyFont="1" applyBorder="1" applyAlignment="1">
      <alignment vertical="center"/>
    </xf>
    <xf numFmtId="0" fontId="15" fillId="0" borderId="5" xfId="0" applyFont="1" applyBorder="1" applyAlignment="1">
      <alignment horizontal="right" vertical="center"/>
    </xf>
    <xf numFmtId="0" fontId="15" fillId="0" borderId="1" xfId="0" applyFont="1" applyBorder="1"/>
    <xf numFmtId="1" fontId="15" fillId="0" borderId="1" xfId="0" applyNumberFormat="1" applyFont="1" applyBorder="1"/>
    <xf numFmtId="1" fontId="23" fillId="0" borderId="24" xfId="0" applyNumberFormat="1" applyFont="1" applyBorder="1" applyAlignment="1">
      <alignment wrapText="1"/>
    </xf>
    <xf numFmtId="0" fontId="18" fillId="0" borderId="1" xfId="0" applyFont="1" applyBorder="1" applyAlignment="1">
      <alignment vertical="center"/>
    </xf>
    <xf numFmtId="0" fontId="18" fillId="0" borderId="24" xfId="0" applyFont="1" applyBorder="1" applyAlignment="1">
      <alignment vertical="center"/>
    </xf>
    <xf numFmtId="0" fontId="15" fillId="0" borderId="24" xfId="0" applyFont="1" applyBorder="1" applyAlignment="1">
      <alignment vertical="center"/>
    </xf>
    <xf numFmtId="0" fontId="18" fillId="0" borderId="2" xfId="0" applyFont="1" applyBorder="1" applyAlignment="1">
      <alignment horizontal="center" vertical="center" wrapText="1"/>
    </xf>
    <xf numFmtId="0" fontId="27" fillId="21" borderId="1" xfId="0" applyFont="1" applyFill="1" applyBorder="1" applyAlignment="1">
      <alignment horizontal="left" vertical="center" wrapText="1"/>
    </xf>
    <xf numFmtId="0" fontId="18" fillId="0" borderId="2" xfId="0" applyFont="1" applyBorder="1" applyAlignment="1">
      <alignment horizontal="right" vertical="center" wrapText="1"/>
    </xf>
    <xf numFmtId="170" fontId="15" fillId="0" borderId="24" xfId="0" applyNumberFormat="1" applyFont="1" applyBorder="1" applyAlignment="1">
      <alignment vertical="center"/>
    </xf>
    <xf numFmtId="0" fontId="32" fillId="23" borderId="1" xfId="0" applyFont="1" applyFill="1" applyBorder="1" applyAlignment="1">
      <alignment horizontal="center" vertical="center" wrapText="1"/>
    </xf>
    <xf numFmtId="49" fontId="15" fillId="21" borderId="1" xfId="0" applyNumberFormat="1" applyFont="1" applyFill="1" applyBorder="1" applyAlignment="1">
      <alignment horizontal="left" vertical="center" wrapText="1"/>
    </xf>
    <xf numFmtId="0" fontId="19" fillId="20" borderId="2" xfId="0" applyFont="1" applyFill="1" applyBorder="1" applyAlignment="1" applyProtection="1">
      <alignment horizontal="center" vertical="center"/>
      <protection locked="0"/>
    </xf>
    <xf numFmtId="0" fontId="19" fillId="20" borderId="5" xfId="0" applyFont="1" applyFill="1" applyBorder="1" applyAlignment="1" applyProtection="1">
      <alignment horizontal="center" vertical="center"/>
      <protection locked="0"/>
    </xf>
    <xf numFmtId="0" fontId="19" fillId="20" borderId="9" xfId="0" applyFont="1" applyFill="1" applyBorder="1" applyAlignment="1" applyProtection="1">
      <alignment horizontal="center" vertical="center"/>
      <protection locked="0"/>
    </xf>
    <xf numFmtId="4" fontId="19" fillId="5" borderId="1" xfId="0" applyNumberFormat="1" applyFont="1" applyFill="1" applyBorder="1" applyAlignment="1" applyProtection="1">
      <alignment horizontal="right" vertical="center" wrapText="1"/>
      <protection locked="0"/>
    </xf>
    <xf numFmtId="0" fontId="19" fillId="20" borderId="8" xfId="0" applyFont="1" applyFill="1" applyBorder="1" applyAlignment="1" applyProtection="1">
      <alignment horizontal="center" vertical="center"/>
      <protection locked="0"/>
    </xf>
    <xf numFmtId="0" fontId="1" fillId="2" borderId="0" xfId="0" applyFont="1" applyFill="1"/>
    <xf numFmtId="0" fontId="20" fillId="17" borderId="10" xfId="0" applyFont="1" applyFill="1" applyBorder="1" applyAlignment="1">
      <alignment vertical="center"/>
    </xf>
    <xf numFmtId="0" fontId="0" fillId="0" borderId="11" xfId="0" applyBorder="1"/>
    <xf numFmtId="0" fontId="0" fillId="0" borderId="12" xfId="0" applyBorder="1"/>
    <xf numFmtId="0" fontId="28" fillId="19" borderId="0" xfId="0" applyFont="1" applyFill="1" applyAlignment="1">
      <alignment horizontal="left" vertical="top" wrapText="1"/>
    </xf>
    <xf numFmtId="0" fontId="0" fillId="14" borderId="0" xfId="0" applyFill="1"/>
    <xf numFmtId="0" fontId="15"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xf numFmtId="0" fontId="15" fillId="0" borderId="5" xfId="0" applyFont="1" applyBorder="1" applyAlignment="1">
      <alignment horizontal="center" vertical="center" wrapText="1"/>
    </xf>
    <xf numFmtId="0" fontId="0" fillId="0" borderId="15" xfId="0" applyBorder="1"/>
    <xf numFmtId="0" fontId="0" fillId="0" borderId="2" xfId="0" applyBorder="1"/>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9" xfId="0" applyFont="1" applyBorder="1" applyAlignment="1">
      <alignment horizontal="center" vertical="center" wrapText="1"/>
    </xf>
    <xf numFmtId="0" fontId="2" fillId="4" borderId="0" xfId="0" applyFont="1" applyFill="1"/>
    <xf numFmtId="0" fontId="0" fillId="0" borderId="0" xfId="0"/>
    <xf numFmtId="0" fontId="15" fillId="18" borderId="5" xfId="0" applyFont="1" applyFill="1" applyBorder="1" applyAlignment="1">
      <alignment horizontal="left" vertical="center" wrapText="1"/>
    </xf>
    <xf numFmtId="0" fontId="0" fillId="0" borderId="6" xfId="0" applyBorder="1"/>
    <xf numFmtId="0" fontId="0" fillId="0" borderId="8" xfId="0" applyBorder="1"/>
    <xf numFmtId="0" fontId="27" fillId="15" borderId="1" xfId="0" applyFont="1" applyFill="1" applyBorder="1" applyAlignment="1">
      <alignment horizontal="left" vertical="center" wrapText="1"/>
    </xf>
    <xf numFmtId="0" fontId="0" fillId="0" borderId="16" xfId="0" applyBorder="1"/>
    <xf numFmtId="0" fontId="36" fillId="27" borderId="1" xfId="0" applyFont="1" applyFill="1" applyBorder="1" applyAlignment="1">
      <alignment horizontal="center" vertical="center" wrapText="1"/>
    </xf>
    <xf numFmtId="0" fontId="0" fillId="0" borderId="24" xfId="0" applyBorder="1"/>
    <xf numFmtId="0" fontId="36" fillId="28" borderId="1" xfId="0" applyFont="1" applyFill="1" applyBorder="1" applyAlignment="1">
      <alignment horizontal="center" vertical="center" wrapText="1"/>
    </xf>
    <xf numFmtId="0" fontId="15" fillId="18" borderId="9" xfId="0" applyFont="1" applyFill="1" applyBorder="1" applyAlignment="1">
      <alignment horizontal="left" vertical="center" wrapText="1"/>
    </xf>
    <xf numFmtId="0" fontId="0" fillId="0" borderId="7" xfId="0" applyBorder="1"/>
    <xf numFmtId="0" fontId="0" fillId="0" borderId="14" xfId="0" applyBorder="1"/>
    <xf numFmtId="0" fontId="15" fillId="18" borderId="1" xfId="0" applyFont="1" applyFill="1" applyBorder="1" applyAlignment="1">
      <alignment horizontal="left" vertical="center" wrapText="1"/>
    </xf>
    <xf numFmtId="0" fontId="20" fillId="17" borderId="1" xfId="0" applyFont="1" applyFill="1" applyBorder="1" applyAlignment="1">
      <alignment horizontal="left" vertical="center" wrapText="1"/>
    </xf>
    <xf numFmtId="0" fontId="15" fillId="0" borderId="4" xfId="0" applyFont="1" applyBorder="1" applyAlignment="1">
      <alignment horizontal="center" vertical="center" wrapText="1"/>
    </xf>
    <xf numFmtId="0" fontId="0" fillId="0" borderId="29" xfId="0" applyBorder="1"/>
    <xf numFmtId="0" fontId="0" fillId="0" borderId="30" xfId="0" applyBorder="1"/>
    <xf numFmtId="0" fontId="13" fillId="0" borderId="0" xfId="0" applyFont="1"/>
    <xf numFmtId="0" fontId="12" fillId="8" borderId="0" xfId="0" applyFont="1" applyFill="1" applyAlignment="1">
      <alignment vertical="top" wrapText="1"/>
    </xf>
    <xf numFmtId="0" fontId="0" fillId="8" borderId="0" xfId="0" applyFill="1"/>
    <xf numFmtId="0" fontId="0" fillId="0" borderId="13" xfId="0" applyBorder="1" applyAlignment="1">
      <alignment horizontal="center" vertical="center" wrapText="1"/>
    </xf>
    <xf numFmtId="0" fontId="0" fillId="0" borderId="30" xfId="0" applyBorder="1" applyAlignment="1">
      <alignment horizontal="center" vertical="center" wrapText="1"/>
    </xf>
    <xf numFmtId="0" fontId="0" fillId="0" borderId="1" xfId="0" applyBorder="1" applyAlignment="1">
      <alignment horizontal="center" vertical="center" wrapText="1"/>
    </xf>
    <xf numFmtId="0" fontId="38" fillId="27" borderId="5" xfId="0" applyFont="1" applyFill="1" applyBorder="1" applyAlignment="1">
      <alignment horizontal="center" vertical="center" wrapText="1"/>
    </xf>
    <xf numFmtId="0" fontId="3" fillId="2" borderId="0" xfId="0" applyFont="1" applyFill="1" applyAlignment="1">
      <alignment horizontal="center"/>
    </xf>
    <xf numFmtId="0" fontId="0" fillId="2" borderId="0" xfId="0" applyFill="1"/>
    <xf numFmtId="0" fontId="10" fillId="0" borderId="1" xfId="0" applyFont="1" applyBorder="1" applyAlignment="1">
      <alignment horizontal="center"/>
    </xf>
    <xf numFmtId="0" fontId="20" fillId="17" borderId="1" xfId="0" applyFont="1" applyFill="1" applyBorder="1" applyAlignment="1">
      <alignment vertical="center"/>
    </xf>
    <xf numFmtId="0" fontId="20" fillId="17" borderId="27" xfId="0" applyFont="1" applyFill="1" applyBorder="1" applyAlignment="1">
      <alignment vertical="center"/>
    </xf>
    <xf numFmtId="0" fontId="20" fillId="17" borderId="11" xfId="0" applyFont="1" applyFill="1" applyBorder="1" applyAlignment="1">
      <alignment vertical="center"/>
    </xf>
    <xf numFmtId="0" fontId="20" fillId="17" borderId="16" xfId="0" applyFont="1" applyFill="1" applyBorder="1" applyAlignment="1">
      <alignment vertical="center"/>
    </xf>
    <xf numFmtId="0" fontId="20" fillId="17" borderId="9" xfId="0" applyFont="1" applyFill="1" applyBorder="1" applyAlignment="1">
      <alignment vertical="center"/>
    </xf>
    <xf numFmtId="0" fontId="27" fillId="0" borderId="24" xfId="0" applyFont="1" applyBorder="1" applyAlignment="1">
      <alignment horizontal="left" vertical="center" wrapText="1"/>
    </xf>
    <xf numFmtId="0" fontId="0" fillId="0" borderId="25" xfId="0" applyBorder="1" applyAlignment="1">
      <alignment vertical="center"/>
    </xf>
    <xf numFmtId="0" fontId="0" fillId="0" borderId="26" xfId="0" applyBorder="1" applyAlignment="1">
      <alignment vertical="center"/>
    </xf>
    <xf numFmtId="0" fontId="3" fillId="3" borderId="27"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21" fillId="0" borderId="1" xfId="0" applyFont="1" applyBorder="1" applyAlignment="1">
      <alignment horizontal="left" vertical="center" wrapText="1"/>
    </xf>
    <xf numFmtId="0" fontId="32" fillId="22" borderId="1" xfId="0" applyFont="1" applyFill="1" applyBorder="1" applyAlignment="1">
      <alignment horizontal="center" vertical="center" wrapText="1"/>
    </xf>
    <xf numFmtId="0" fontId="18" fillId="0" borderId="1" xfId="0" applyFont="1" applyBorder="1" applyAlignment="1">
      <alignment horizontal="left" vertical="center"/>
    </xf>
    <xf numFmtId="0" fontId="32" fillId="3" borderId="1" xfId="0" applyFont="1" applyFill="1" applyBorder="1" applyAlignment="1">
      <alignment horizontal="center" vertical="center" wrapText="1"/>
    </xf>
    <xf numFmtId="0" fontId="27" fillId="0" borderId="1" xfId="0" applyFont="1" applyBorder="1" applyAlignment="1">
      <alignment horizontal="left" vertical="center" wrapText="1"/>
    </xf>
    <xf numFmtId="0" fontId="0" fillId="0" borderId="11" xfId="0" applyBorder="1" applyAlignment="1">
      <alignment vertical="center"/>
    </xf>
    <xf numFmtId="0" fontId="0" fillId="0" borderId="16" xfId="0" applyBorder="1" applyAlignment="1">
      <alignment vertical="center"/>
    </xf>
    <xf numFmtId="0" fontId="3" fillId="3" borderId="1"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6" xfId="0" applyFont="1" applyFill="1" applyBorder="1" applyAlignment="1">
      <alignment horizontal="center" vertical="center"/>
    </xf>
  </cellXfs>
  <cellStyles count="4">
    <cellStyle name="Comma 2" xfId="2" xr:uid="{D78745B2-82DA-4285-BE66-4209D6322BE8}"/>
    <cellStyle name="Hyperlink" xfId="3" builtinId="8"/>
    <cellStyle name="Normal" xfId="0" builtinId="0"/>
    <cellStyle name="Per cent" xfId="1" builtinId="5"/>
  </cellStyles>
  <dxfs count="12">
    <dxf>
      <fill>
        <patternFill patternType="solid">
          <fgColor rgb="FFFFC7CE"/>
          <bgColor rgb="FFFFC7CE"/>
        </patternFill>
      </fill>
    </dxf>
    <dxf>
      <fill>
        <patternFill patternType="solid">
          <fgColor rgb="FFC6EFCE"/>
          <bgColor rgb="FFC6EFCE"/>
        </patternFill>
      </fill>
    </dxf>
    <dxf>
      <fill>
        <patternFill patternType="solid">
          <fgColor rgb="FFFFC7CE"/>
          <bgColor rgb="FFFFC7CE"/>
        </patternFill>
      </fill>
    </dxf>
    <dxf>
      <fill>
        <patternFill patternType="solid">
          <fgColor rgb="FFC6EFCE"/>
          <bgColor rgb="FFC6EFCE"/>
        </patternFill>
      </fill>
    </dxf>
    <dxf>
      <fill>
        <patternFill patternType="solid">
          <fgColor rgb="FFFFC7CE"/>
          <bgColor rgb="FFFFC7CE"/>
        </patternFill>
      </fill>
    </dxf>
    <dxf>
      <fill>
        <patternFill patternType="solid">
          <fgColor rgb="FFC6EFCE"/>
          <bgColor rgb="FFC6EFCE"/>
        </patternFill>
      </fill>
    </dxf>
    <dxf>
      <fill>
        <patternFill patternType="solid">
          <fgColor rgb="FFFFC7CE"/>
          <bgColor rgb="FFFFC7CE"/>
        </patternFill>
      </fill>
    </dxf>
    <dxf>
      <fill>
        <patternFill patternType="solid">
          <fgColor rgb="FFC6EFCE"/>
          <bgColor rgb="FFC6EFCE"/>
        </patternFill>
      </fill>
    </dxf>
    <dxf>
      <fill>
        <patternFill patternType="solid">
          <fgColor rgb="FFFFC7CE"/>
          <bgColor rgb="FFFFC7CE"/>
        </patternFill>
      </fill>
    </dxf>
    <dxf>
      <fill>
        <patternFill patternType="solid">
          <fgColor rgb="FFC6EFCE"/>
          <bgColor rgb="FFC6EFCE"/>
        </patternFill>
      </fill>
    </dxf>
    <dxf>
      <fill>
        <patternFill patternType="solid">
          <fgColor rgb="FFFFC7CE"/>
          <bgColor rgb="FFFFC7CE"/>
        </patternFill>
      </fill>
    </dxf>
    <dxf>
      <fill>
        <patternFill patternType="solid">
          <fgColor rgb="FFC6EFCE"/>
          <bgColor rgb="FFC6EFCE"/>
        </patternFill>
      </fill>
    </dxf>
  </dxfs>
  <tableStyles count="0" defaultTableStyle="TableStyleMedium9" defaultPivotStyle="PivotStyleLight16"/>
  <colors>
    <mruColors>
      <color rgb="FFE5F5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tx-hub.org/%20publication%20/GHG_intensity_calculators_PtX_produc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9"/>
  </sheetPr>
  <dimension ref="A1:A32"/>
  <sheetViews>
    <sheetView tabSelected="1" workbookViewId="0">
      <pane ySplit="2" topLeftCell="A3" activePane="bottomLeft" state="frozen"/>
      <selection pane="bottomLeft" activeCell="A3" sqref="A3"/>
    </sheetView>
  </sheetViews>
  <sheetFormatPr defaultRowHeight="14.4" x14ac:dyDescent="0.3"/>
  <cols>
    <col min="1" max="1" width="120" style="1" customWidth="1"/>
    <col min="2" max="16384" width="8.88671875" style="1"/>
  </cols>
  <sheetData>
    <row r="1" spans="1:1" ht="21" x14ac:dyDescent="0.4">
      <c r="A1" s="14" t="s">
        <v>0</v>
      </c>
    </row>
    <row r="2" spans="1:1" ht="15.6" x14ac:dyDescent="0.3">
      <c r="A2" s="15" t="s">
        <v>1</v>
      </c>
    </row>
    <row r="3" spans="1:1" ht="15.6" x14ac:dyDescent="0.3">
      <c r="A3" s="16" t="s">
        <v>2</v>
      </c>
    </row>
    <row r="4" spans="1:1" ht="39.6" x14ac:dyDescent="0.3">
      <c r="A4" s="17" t="s">
        <v>618</v>
      </c>
    </row>
    <row r="5" spans="1:1" x14ac:dyDescent="0.3">
      <c r="A5" s="18" t="s">
        <v>3</v>
      </c>
    </row>
    <row r="6" spans="1:1" ht="26.4" x14ac:dyDescent="0.3">
      <c r="A6" s="17" t="s">
        <v>4</v>
      </c>
    </row>
    <row r="7" spans="1:1" ht="26.4" x14ac:dyDescent="0.3">
      <c r="A7" s="17" t="s">
        <v>5</v>
      </c>
    </row>
    <row r="8" spans="1:1" ht="26.4" x14ac:dyDescent="0.3">
      <c r="A8" s="17" t="s">
        <v>6</v>
      </c>
    </row>
    <row r="9" spans="1:1" ht="26.4" x14ac:dyDescent="0.3">
      <c r="A9" s="17" t="s">
        <v>607</v>
      </c>
    </row>
    <row r="10" spans="1:1" x14ac:dyDescent="0.3">
      <c r="A10" s="19" t="s">
        <v>608</v>
      </c>
    </row>
    <row r="11" spans="1:1" ht="15.6" x14ac:dyDescent="0.3">
      <c r="A11" s="16" t="s">
        <v>7</v>
      </c>
    </row>
    <row r="12" spans="1:1" ht="26.4" x14ac:dyDescent="0.3">
      <c r="A12" s="17" t="s">
        <v>8</v>
      </c>
    </row>
    <row r="13" spans="1:1" ht="26.4" x14ac:dyDescent="0.3">
      <c r="A13" s="17" t="s">
        <v>9</v>
      </c>
    </row>
    <row r="14" spans="1:1" x14ac:dyDescent="0.3">
      <c r="A14" s="17" t="s">
        <v>10</v>
      </c>
    </row>
    <row r="15" spans="1:1" ht="26.4" x14ac:dyDescent="0.3">
      <c r="A15" s="17" t="s">
        <v>11</v>
      </c>
    </row>
    <row r="16" spans="1:1" x14ac:dyDescent="0.3">
      <c r="A16" s="20"/>
    </row>
    <row r="17" spans="1:1" x14ac:dyDescent="0.3">
      <c r="A17" s="18" t="s">
        <v>12</v>
      </c>
    </row>
    <row r="18" spans="1:1" x14ac:dyDescent="0.3">
      <c r="A18" s="17" t="s">
        <v>619</v>
      </c>
    </row>
    <row r="19" spans="1:1" ht="15.6" x14ac:dyDescent="0.3">
      <c r="A19" s="16" t="s">
        <v>13</v>
      </c>
    </row>
    <row r="20" spans="1:1" ht="26.4" x14ac:dyDescent="0.3">
      <c r="A20" s="17" t="s">
        <v>14</v>
      </c>
    </row>
    <row r="21" spans="1:1" ht="26.4" x14ac:dyDescent="0.3">
      <c r="A21" s="17" t="s">
        <v>15</v>
      </c>
    </row>
    <row r="22" spans="1:1" ht="26.4" x14ac:dyDescent="0.3">
      <c r="A22" s="17" t="s">
        <v>16</v>
      </c>
    </row>
    <row r="23" spans="1:1" x14ac:dyDescent="0.3">
      <c r="A23"/>
    </row>
    <row r="24" spans="1:1" ht="15.6" x14ac:dyDescent="0.3">
      <c r="A24" s="16" t="s">
        <v>17</v>
      </c>
    </row>
    <row r="25" spans="1:1" x14ac:dyDescent="0.3">
      <c r="A25" s="21" t="s">
        <v>605</v>
      </c>
    </row>
    <row r="26" spans="1:1" x14ac:dyDescent="0.3">
      <c r="A26" s="21" t="s">
        <v>606</v>
      </c>
    </row>
    <row r="27" spans="1:1" x14ac:dyDescent="0.3">
      <c r="A27" s="20"/>
    </row>
    <row r="28" spans="1:1" ht="39.6" x14ac:dyDescent="0.3">
      <c r="A28" s="17" t="s">
        <v>18</v>
      </c>
    </row>
    <row r="29" spans="1:1" x14ac:dyDescent="0.3">
      <c r="A29" s="18" t="s">
        <v>19</v>
      </c>
    </row>
    <row r="30" spans="1:1" ht="52.8" x14ac:dyDescent="0.3">
      <c r="A30" s="21" t="s">
        <v>609</v>
      </c>
    </row>
    <row r="31" spans="1:1" ht="26.4" x14ac:dyDescent="0.3">
      <c r="A31" s="17" t="s">
        <v>20</v>
      </c>
    </row>
    <row r="32" spans="1:1" x14ac:dyDescent="0.3">
      <c r="A32"/>
    </row>
  </sheetData>
  <sheetProtection sheet="1" formatCells="0" formatColumns="0" formatRows="0" sort="0" autoFilter="0" pivotTables="0"/>
  <hyperlinks>
    <hyperlink ref="A10" r:id="rId1" xr:uid="{AAA24576-8FF3-4E5C-97E3-65A7A553B9B2}"/>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sheetPr>
  <dimension ref="A1:F71"/>
  <sheetViews>
    <sheetView workbookViewId="0">
      <pane ySplit="2" topLeftCell="A3" activePane="bottomLeft" state="frozen"/>
      <selection pane="bottomLeft" activeCell="B4" sqref="B4"/>
    </sheetView>
  </sheetViews>
  <sheetFormatPr defaultRowHeight="14.4" x14ac:dyDescent="0.3"/>
  <cols>
    <col min="1" max="1" width="40.77734375" style="1" customWidth="1"/>
    <col min="2" max="2" width="20.77734375" style="1" customWidth="1"/>
    <col min="3" max="3" width="15.77734375" style="1" customWidth="1"/>
    <col min="4" max="4" width="20.77734375" style="1" customWidth="1"/>
    <col min="5" max="5" width="30.77734375" style="1" customWidth="1"/>
    <col min="6" max="6" width="60.77734375" style="1" customWidth="1"/>
    <col min="7" max="16384" width="8.88671875" style="1"/>
  </cols>
  <sheetData>
    <row r="1" spans="1:6" ht="21" x14ac:dyDescent="0.4">
      <c r="A1" s="223" t="s">
        <v>21</v>
      </c>
      <c r="B1" s="223"/>
      <c r="C1" s="223"/>
      <c r="D1" s="223"/>
      <c r="E1" s="223"/>
      <c r="F1" s="223"/>
    </row>
    <row r="2" spans="1:6" x14ac:dyDescent="0.3">
      <c r="A2" s="22" t="s">
        <v>22</v>
      </c>
      <c r="B2" s="22" t="s">
        <v>23</v>
      </c>
      <c r="C2" s="22" t="s">
        <v>24</v>
      </c>
      <c r="D2" s="22" t="s">
        <v>25</v>
      </c>
      <c r="E2" s="22" t="s">
        <v>26</v>
      </c>
      <c r="F2" s="22" t="s">
        <v>27</v>
      </c>
    </row>
    <row r="3" spans="1:6" x14ac:dyDescent="0.3">
      <c r="A3" s="224" t="s">
        <v>28</v>
      </c>
      <c r="B3" s="225"/>
      <c r="C3" s="225"/>
      <c r="D3" s="225"/>
      <c r="E3" s="225"/>
      <c r="F3" s="226"/>
    </row>
    <row r="4" spans="1:6" x14ac:dyDescent="0.3">
      <c r="A4" s="23" t="s">
        <v>29</v>
      </c>
      <c r="B4" s="218" t="s">
        <v>626</v>
      </c>
      <c r="C4" s="25" t="s">
        <v>30</v>
      </c>
      <c r="D4" s="26" t="s">
        <v>31</v>
      </c>
      <c r="E4" s="27" t="s">
        <v>632</v>
      </c>
      <c r="F4" s="28" t="s">
        <v>32</v>
      </c>
    </row>
    <row r="5" spans="1:6" x14ac:dyDescent="0.3">
      <c r="A5" s="23" t="s">
        <v>33</v>
      </c>
      <c r="B5" s="219" t="s">
        <v>627</v>
      </c>
      <c r="C5" s="29" t="s">
        <v>30</v>
      </c>
      <c r="D5" s="30" t="s">
        <v>31</v>
      </c>
      <c r="E5" s="27"/>
      <c r="F5" s="28" t="s">
        <v>34</v>
      </c>
    </row>
    <row r="6" spans="1:6" x14ac:dyDescent="0.3">
      <c r="A6" s="23" t="s">
        <v>35</v>
      </c>
      <c r="B6" s="220">
        <v>2030</v>
      </c>
      <c r="C6" s="29" t="s">
        <v>36</v>
      </c>
      <c r="D6" s="30" t="s">
        <v>31</v>
      </c>
      <c r="E6" s="27"/>
      <c r="F6" s="28" t="s">
        <v>37</v>
      </c>
    </row>
    <row r="7" spans="1:6" x14ac:dyDescent="0.3">
      <c r="A7" s="23" t="s">
        <v>38</v>
      </c>
      <c r="B7" s="24" t="s">
        <v>628</v>
      </c>
      <c r="C7" s="31" t="s">
        <v>30</v>
      </c>
      <c r="D7" s="30" t="s">
        <v>31</v>
      </c>
      <c r="E7" s="27"/>
      <c r="F7" s="28" t="s">
        <v>434</v>
      </c>
    </row>
    <row r="8" spans="1:6" x14ac:dyDescent="0.3">
      <c r="A8" s="23" t="s">
        <v>39</v>
      </c>
      <c r="B8" s="24" t="s">
        <v>49</v>
      </c>
      <c r="C8" s="32" t="s">
        <v>30</v>
      </c>
      <c r="D8" s="30" t="s">
        <v>31</v>
      </c>
      <c r="E8" s="27"/>
      <c r="F8" s="28" t="s">
        <v>437</v>
      </c>
    </row>
    <row r="9" spans="1:6" x14ac:dyDescent="0.3">
      <c r="A9" s="33" t="s">
        <v>41</v>
      </c>
      <c r="B9" s="34" t="s">
        <v>42</v>
      </c>
      <c r="C9" s="35" t="s">
        <v>30</v>
      </c>
      <c r="D9" s="36" t="s">
        <v>31</v>
      </c>
      <c r="E9" s="37"/>
      <c r="F9" s="38" t="s">
        <v>43</v>
      </c>
    </row>
    <row r="10" spans="1:6" ht="22.8" x14ac:dyDescent="0.3">
      <c r="A10" s="23" t="s">
        <v>44</v>
      </c>
      <c r="B10" s="24" t="s">
        <v>42</v>
      </c>
      <c r="C10" s="39" t="s">
        <v>30</v>
      </c>
      <c r="D10" s="40" t="s">
        <v>31</v>
      </c>
      <c r="E10" s="41"/>
      <c r="F10" s="42" t="s">
        <v>436</v>
      </c>
    </row>
    <row r="11" spans="1:6" ht="22.8" x14ac:dyDescent="0.3">
      <c r="A11" s="23" t="s">
        <v>46</v>
      </c>
      <c r="B11" s="24" t="s">
        <v>629</v>
      </c>
      <c r="C11" s="39" t="s">
        <v>30</v>
      </c>
      <c r="D11" s="40" t="s">
        <v>31</v>
      </c>
      <c r="E11" s="41"/>
      <c r="F11" s="42" t="s">
        <v>435</v>
      </c>
    </row>
    <row r="12" spans="1:6" x14ac:dyDescent="0.3">
      <c r="D12" s="43"/>
    </row>
    <row r="13" spans="1:6" x14ac:dyDescent="0.3">
      <c r="A13" s="224" t="s">
        <v>47</v>
      </c>
      <c r="B13" s="225"/>
      <c r="C13" s="225"/>
      <c r="D13" s="225"/>
      <c r="E13" s="225"/>
      <c r="F13" s="226"/>
    </row>
    <row r="14" spans="1:6" x14ac:dyDescent="0.3">
      <c r="A14" s="23" t="s">
        <v>48</v>
      </c>
      <c r="B14" s="44">
        <v>600000</v>
      </c>
      <c r="C14" s="45" t="str">
        <f>IF(B7="e-Methanol","t MeOH/yr", IF(B7="e-SAF","t SAF/yr","Select product"))</f>
        <v>t MeOH/yr</v>
      </c>
      <c r="D14" s="46" t="s">
        <v>74</v>
      </c>
      <c r="E14" s="41"/>
      <c r="F14" s="47" t="s">
        <v>50</v>
      </c>
    </row>
    <row r="15" spans="1:6" x14ac:dyDescent="0.3">
      <c r="A15" s="23" t="s">
        <v>51</v>
      </c>
      <c r="B15" s="48">
        <v>0.99</v>
      </c>
      <c r="C15" s="4" t="s">
        <v>52</v>
      </c>
      <c r="D15" s="46" t="s">
        <v>74</v>
      </c>
      <c r="E15" s="41"/>
      <c r="F15" s="47" t="s">
        <v>53</v>
      </c>
    </row>
    <row r="16" spans="1:6" x14ac:dyDescent="0.3">
      <c r="A16" s="23" t="s">
        <v>54</v>
      </c>
      <c r="B16" s="49">
        <v>8600</v>
      </c>
      <c r="C16" s="4" t="s">
        <v>55</v>
      </c>
      <c r="D16" s="46" t="s">
        <v>74</v>
      </c>
      <c r="E16" s="41"/>
      <c r="F16" s="47" t="s">
        <v>56</v>
      </c>
    </row>
    <row r="17" spans="1:6" x14ac:dyDescent="0.3">
      <c r="A17" s="50"/>
      <c r="D17" s="43"/>
    </row>
    <row r="18" spans="1:6" x14ac:dyDescent="0.3">
      <c r="A18" s="224" t="s">
        <v>58</v>
      </c>
      <c r="B18" s="225"/>
      <c r="C18" s="225"/>
      <c r="D18" s="225"/>
      <c r="E18" s="225"/>
      <c r="F18" s="226"/>
    </row>
    <row r="19" spans="1:6" x14ac:dyDescent="0.3">
      <c r="A19" s="23" t="s">
        <v>438</v>
      </c>
      <c r="B19" s="51">
        <v>0.16</v>
      </c>
      <c r="C19" s="29" t="s">
        <v>59</v>
      </c>
      <c r="D19" s="46" t="s">
        <v>74</v>
      </c>
      <c r="E19" s="52"/>
      <c r="F19" s="47" t="s">
        <v>439</v>
      </c>
    </row>
    <row r="20" spans="1:6" ht="22.8" x14ac:dyDescent="0.3">
      <c r="A20" s="23" t="s">
        <v>60</v>
      </c>
      <c r="B20" s="51"/>
      <c r="C20" s="29" t="s">
        <v>61</v>
      </c>
      <c r="D20" s="46" t="s">
        <v>49</v>
      </c>
      <c r="E20" s="52" t="s">
        <v>630</v>
      </c>
      <c r="F20" s="47" t="s">
        <v>440</v>
      </c>
    </row>
    <row r="21" spans="1:6" x14ac:dyDescent="0.3">
      <c r="A21" s="53"/>
      <c r="D21" s="43"/>
    </row>
    <row r="22" spans="1:6" x14ac:dyDescent="0.3">
      <c r="A22" s="224" t="s">
        <v>62</v>
      </c>
      <c r="B22" s="225"/>
      <c r="C22" s="225"/>
      <c r="D22" s="225"/>
      <c r="E22" s="225"/>
      <c r="F22" s="226"/>
    </row>
    <row r="23" spans="1:6" ht="15" x14ac:dyDescent="0.3">
      <c r="A23" s="23" t="s">
        <v>443</v>
      </c>
      <c r="B23" s="221">
        <v>1.1499999999999999</v>
      </c>
      <c r="C23" s="29" t="s">
        <v>446</v>
      </c>
      <c r="D23" s="46" t="s">
        <v>49</v>
      </c>
      <c r="E23" s="52"/>
      <c r="F23" s="47" t="s">
        <v>447</v>
      </c>
    </row>
    <row r="24" spans="1:6" x14ac:dyDescent="0.3">
      <c r="A24" s="23" t="s">
        <v>63</v>
      </c>
      <c r="B24" s="24" t="s">
        <v>354</v>
      </c>
      <c r="C24" s="29" t="s">
        <v>30</v>
      </c>
      <c r="D24" s="26" t="s">
        <v>74</v>
      </c>
      <c r="E24" s="52"/>
      <c r="F24" s="12" t="s">
        <v>449</v>
      </c>
    </row>
    <row r="25" spans="1:6" ht="15" x14ac:dyDescent="0.3">
      <c r="A25" s="23" t="s">
        <v>444</v>
      </c>
      <c r="B25" s="54"/>
      <c r="C25" s="29" t="s">
        <v>445</v>
      </c>
      <c r="D25" s="46" t="s">
        <v>49</v>
      </c>
      <c r="E25" s="52" t="s">
        <v>630</v>
      </c>
      <c r="F25" s="47" t="s">
        <v>448</v>
      </c>
    </row>
    <row r="26" spans="1:6" x14ac:dyDescent="0.3">
      <c r="D26" s="43"/>
    </row>
    <row r="27" spans="1:6" x14ac:dyDescent="0.3">
      <c r="A27" s="224" t="s">
        <v>441</v>
      </c>
      <c r="B27" s="225"/>
      <c r="C27" s="225"/>
      <c r="D27" s="225"/>
      <c r="E27" s="225"/>
      <c r="F27" s="226"/>
    </row>
    <row r="28" spans="1:6" x14ac:dyDescent="0.3">
      <c r="A28" s="23" t="s">
        <v>450</v>
      </c>
      <c r="B28" s="55"/>
      <c r="C28" s="29" t="s">
        <v>442</v>
      </c>
      <c r="D28" s="46" t="s">
        <v>49</v>
      </c>
      <c r="E28" s="52" t="s">
        <v>630</v>
      </c>
      <c r="F28" s="47" t="s">
        <v>452</v>
      </c>
    </row>
    <row r="29" spans="1:6" x14ac:dyDescent="0.3">
      <c r="A29" s="23" t="s">
        <v>451</v>
      </c>
      <c r="B29" s="55"/>
      <c r="C29" s="29" t="s">
        <v>133</v>
      </c>
      <c r="D29" s="46" t="s">
        <v>49</v>
      </c>
      <c r="E29" s="52"/>
      <c r="F29" s="47" t="s">
        <v>453</v>
      </c>
    </row>
    <row r="30" spans="1:6" x14ac:dyDescent="0.3">
      <c r="D30" s="43"/>
    </row>
    <row r="31" spans="1:6" x14ac:dyDescent="0.3">
      <c r="A31" s="224" t="s">
        <v>454</v>
      </c>
      <c r="B31" s="225"/>
      <c r="C31" s="225"/>
      <c r="D31" s="225"/>
      <c r="E31" s="225"/>
      <c r="F31" s="226"/>
    </row>
    <row r="32" spans="1:6" x14ac:dyDescent="0.3">
      <c r="A32" s="23" t="s">
        <v>66</v>
      </c>
      <c r="B32" s="55">
        <v>350000</v>
      </c>
      <c r="C32" s="29" t="s">
        <v>67</v>
      </c>
      <c r="D32" s="46" t="s">
        <v>49</v>
      </c>
      <c r="E32" s="52"/>
      <c r="F32" s="42" t="s">
        <v>456</v>
      </c>
    </row>
    <row r="33" spans="1:6" ht="22.8" x14ac:dyDescent="0.3">
      <c r="A33" s="23" t="s">
        <v>68</v>
      </c>
      <c r="B33" s="55">
        <v>5650000</v>
      </c>
      <c r="C33" s="29" t="s">
        <v>67</v>
      </c>
      <c r="D33" s="46" t="s">
        <v>49</v>
      </c>
      <c r="E33" s="52"/>
      <c r="F33" s="42" t="s">
        <v>457</v>
      </c>
    </row>
    <row r="34" spans="1:6" x14ac:dyDescent="0.3">
      <c r="A34" s="23" t="s">
        <v>69</v>
      </c>
      <c r="B34" s="55"/>
      <c r="C34" s="29" t="s">
        <v>67</v>
      </c>
      <c r="D34" s="46" t="s">
        <v>49</v>
      </c>
      <c r="E34" s="52"/>
      <c r="F34" s="42" t="s">
        <v>458</v>
      </c>
    </row>
    <row r="35" spans="1:6" x14ac:dyDescent="0.3">
      <c r="A35" s="23" t="s">
        <v>455</v>
      </c>
      <c r="B35" s="56">
        <f>B32+B33+B34</f>
        <v>6000000</v>
      </c>
      <c r="C35" s="29" t="s">
        <v>67</v>
      </c>
      <c r="D35" s="40" t="s">
        <v>45</v>
      </c>
      <c r="E35" s="52"/>
      <c r="F35" s="42" t="s">
        <v>459</v>
      </c>
    </row>
    <row r="36" spans="1:6" x14ac:dyDescent="0.3">
      <c r="D36" s="43"/>
    </row>
    <row r="37" spans="1:6" x14ac:dyDescent="0.3">
      <c r="A37" s="224" t="s">
        <v>70</v>
      </c>
      <c r="B37" s="225"/>
      <c r="C37" s="225"/>
      <c r="D37" s="225"/>
      <c r="E37" s="225"/>
      <c r="F37" s="226"/>
    </row>
    <row r="38" spans="1:6" x14ac:dyDescent="0.3">
      <c r="A38" s="23" t="s">
        <v>71</v>
      </c>
      <c r="B38" s="55">
        <v>1100000</v>
      </c>
      <c r="C38" s="29" t="s">
        <v>72</v>
      </c>
      <c r="D38" s="46" t="s">
        <v>49</v>
      </c>
      <c r="E38" s="52"/>
      <c r="F38" s="42" t="s">
        <v>460</v>
      </c>
    </row>
    <row r="39" spans="1:6" ht="22.8" x14ac:dyDescent="0.3">
      <c r="A39" s="23" t="s">
        <v>73</v>
      </c>
      <c r="B39" s="24" t="s">
        <v>249</v>
      </c>
      <c r="C39" s="29" t="s">
        <v>30</v>
      </c>
      <c r="D39" s="40" t="s">
        <v>74</v>
      </c>
      <c r="E39" s="52"/>
      <c r="F39" s="42" t="s">
        <v>461</v>
      </c>
    </row>
    <row r="40" spans="1:6" x14ac:dyDescent="0.3">
      <c r="D40" s="43"/>
    </row>
    <row r="41" spans="1:6" x14ac:dyDescent="0.3">
      <c r="A41" s="224" t="s">
        <v>75</v>
      </c>
      <c r="B41" s="225"/>
      <c r="C41" s="225"/>
      <c r="D41" s="225"/>
      <c r="E41" s="225"/>
      <c r="F41" s="226"/>
    </row>
    <row r="42" spans="1:6" x14ac:dyDescent="0.3">
      <c r="A42" s="23" t="s">
        <v>76</v>
      </c>
      <c r="B42" s="55">
        <v>0</v>
      </c>
      <c r="C42" s="29" t="s">
        <v>77</v>
      </c>
      <c r="D42" s="46" t="s">
        <v>74</v>
      </c>
      <c r="E42" s="41"/>
      <c r="F42" s="42" t="s">
        <v>462</v>
      </c>
    </row>
    <row r="43" spans="1:6" ht="22.8" x14ac:dyDescent="0.3">
      <c r="A43" s="23" t="s">
        <v>78</v>
      </c>
      <c r="B43" s="24" t="s">
        <v>49</v>
      </c>
      <c r="C43" s="29" t="s">
        <v>30</v>
      </c>
      <c r="D43" s="40" t="s">
        <v>74</v>
      </c>
      <c r="E43" s="41"/>
      <c r="F43" s="42" t="s">
        <v>461</v>
      </c>
    </row>
    <row r="44" spans="1:6" x14ac:dyDescent="0.3">
      <c r="D44" s="43"/>
    </row>
    <row r="45" spans="1:6" x14ac:dyDescent="0.3">
      <c r="A45" s="224" t="s">
        <v>79</v>
      </c>
      <c r="B45" s="225"/>
      <c r="C45" s="225"/>
      <c r="D45" s="225"/>
      <c r="E45" s="225"/>
      <c r="F45" s="226"/>
    </row>
    <row r="46" spans="1:6" ht="22.8" x14ac:dyDescent="0.3">
      <c r="A46" s="23" t="s">
        <v>80</v>
      </c>
      <c r="B46" s="24" t="s">
        <v>232</v>
      </c>
      <c r="C46" s="29" t="s">
        <v>30</v>
      </c>
      <c r="D46" s="40" t="s">
        <v>74</v>
      </c>
      <c r="E46" s="222" t="s">
        <v>631</v>
      </c>
      <c r="F46" s="57" t="s">
        <v>461</v>
      </c>
    </row>
    <row r="47" spans="1:6" x14ac:dyDescent="0.3">
      <c r="A47" s="23" t="s">
        <v>81</v>
      </c>
      <c r="B47" s="55">
        <v>20000</v>
      </c>
      <c r="C47" s="29" t="s">
        <v>77</v>
      </c>
      <c r="D47" s="46" t="s">
        <v>74</v>
      </c>
      <c r="E47" s="222" t="s">
        <v>631</v>
      </c>
      <c r="F47" s="57" t="s">
        <v>463</v>
      </c>
    </row>
    <row r="48" spans="1:6" ht="22.8" x14ac:dyDescent="0.3">
      <c r="A48" s="23" t="s">
        <v>82</v>
      </c>
      <c r="B48" s="24" t="s">
        <v>49</v>
      </c>
      <c r="C48" s="29" t="s">
        <v>30</v>
      </c>
      <c r="D48" s="40" t="s">
        <v>74</v>
      </c>
      <c r="E48" s="41"/>
      <c r="F48" s="57" t="s">
        <v>461</v>
      </c>
    </row>
    <row r="49" spans="1:6" x14ac:dyDescent="0.3">
      <c r="A49" s="23" t="s">
        <v>83</v>
      </c>
      <c r="B49" s="55"/>
      <c r="C49" s="29" t="s">
        <v>77</v>
      </c>
      <c r="D49" s="46" t="s">
        <v>49</v>
      </c>
      <c r="E49" s="41"/>
      <c r="F49" s="57" t="s">
        <v>463</v>
      </c>
    </row>
    <row r="50" spans="1:6" ht="22.8" x14ac:dyDescent="0.3">
      <c r="A50" s="23" t="s">
        <v>84</v>
      </c>
      <c r="B50" s="24" t="s">
        <v>49</v>
      </c>
      <c r="C50" s="29" t="s">
        <v>30</v>
      </c>
      <c r="D50" s="40" t="s">
        <v>74</v>
      </c>
      <c r="E50" s="41"/>
      <c r="F50" s="57" t="s">
        <v>461</v>
      </c>
    </row>
    <row r="51" spans="1:6" x14ac:dyDescent="0.3">
      <c r="A51" s="23" t="s">
        <v>85</v>
      </c>
      <c r="B51" s="55"/>
      <c r="C51" s="29" t="s">
        <v>77</v>
      </c>
      <c r="D51" s="46" t="s">
        <v>49</v>
      </c>
      <c r="E51" s="41"/>
      <c r="F51" s="42" t="s">
        <v>463</v>
      </c>
    </row>
    <row r="52" spans="1:6" x14ac:dyDescent="0.3">
      <c r="D52" s="43"/>
    </row>
    <row r="53" spans="1:6" x14ac:dyDescent="0.3">
      <c r="A53" s="224" t="s">
        <v>86</v>
      </c>
      <c r="B53" s="225"/>
      <c r="C53" s="225"/>
      <c r="D53" s="225"/>
      <c r="E53" s="225"/>
      <c r="F53" s="226"/>
    </row>
    <row r="54" spans="1:6" ht="22.8" x14ac:dyDescent="0.3">
      <c r="A54" s="23" t="s">
        <v>87</v>
      </c>
      <c r="B54" s="24" t="s">
        <v>263</v>
      </c>
      <c r="C54" s="29" t="s">
        <v>30</v>
      </c>
      <c r="D54" s="40" t="s">
        <v>74</v>
      </c>
      <c r="E54" s="41"/>
      <c r="F54" s="42" t="s">
        <v>461</v>
      </c>
    </row>
    <row r="55" spans="1:6" x14ac:dyDescent="0.3">
      <c r="A55" s="23" t="s">
        <v>88</v>
      </c>
      <c r="B55" s="55">
        <v>200000</v>
      </c>
      <c r="C55" s="29" t="s">
        <v>89</v>
      </c>
      <c r="D55" s="46" t="s">
        <v>74</v>
      </c>
      <c r="E55" s="41"/>
      <c r="F55" s="42" t="s">
        <v>464</v>
      </c>
    </row>
    <row r="56" spans="1:6" ht="22.8" x14ac:dyDescent="0.3">
      <c r="A56" s="23" t="s">
        <v>90</v>
      </c>
      <c r="B56" s="24" t="s">
        <v>49</v>
      </c>
      <c r="C56" s="29" t="s">
        <v>30</v>
      </c>
      <c r="D56" s="40" t="s">
        <v>74</v>
      </c>
      <c r="E56" s="41"/>
      <c r="F56" s="42" t="s">
        <v>461</v>
      </c>
    </row>
    <row r="57" spans="1:6" x14ac:dyDescent="0.3">
      <c r="A57" s="23" t="s">
        <v>91</v>
      </c>
      <c r="B57" s="55"/>
      <c r="C57" s="29" t="s">
        <v>89</v>
      </c>
      <c r="D57" s="46" t="s">
        <v>49</v>
      </c>
      <c r="E57" s="41"/>
      <c r="F57" s="42" t="s">
        <v>464</v>
      </c>
    </row>
    <row r="58" spans="1:6" ht="22.8" x14ac:dyDescent="0.3">
      <c r="A58" s="23" t="s">
        <v>92</v>
      </c>
      <c r="B58" s="24" t="s">
        <v>49</v>
      </c>
      <c r="C58" s="29" t="s">
        <v>30</v>
      </c>
      <c r="D58" s="40" t="s">
        <v>74</v>
      </c>
      <c r="E58" s="41"/>
      <c r="F58" s="42" t="s">
        <v>461</v>
      </c>
    </row>
    <row r="59" spans="1:6" x14ac:dyDescent="0.3">
      <c r="A59" s="23" t="s">
        <v>93</v>
      </c>
      <c r="B59" s="55"/>
      <c r="C59" s="29" t="s">
        <v>89</v>
      </c>
      <c r="D59" s="46" t="s">
        <v>49</v>
      </c>
      <c r="E59" s="41"/>
      <c r="F59" s="42" t="s">
        <v>464</v>
      </c>
    </row>
    <row r="60" spans="1:6" ht="22.8" x14ac:dyDescent="0.3">
      <c r="A60" s="23" t="s">
        <v>94</v>
      </c>
      <c r="B60" s="24" t="s">
        <v>49</v>
      </c>
      <c r="C60" s="29" t="s">
        <v>30</v>
      </c>
      <c r="D60" s="40" t="s">
        <v>74</v>
      </c>
      <c r="E60" s="41"/>
      <c r="F60" s="42" t="s">
        <v>461</v>
      </c>
    </row>
    <row r="61" spans="1:6" x14ac:dyDescent="0.3">
      <c r="A61" s="23" t="s">
        <v>95</v>
      </c>
      <c r="B61" s="55"/>
      <c r="C61" s="29" t="s">
        <v>89</v>
      </c>
      <c r="D61" s="46" t="s">
        <v>49</v>
      </c>
      <c r="E61" s="41"/>
      <c r="F61" s="42" t="s">
        <v>464</v>
      </c>
    </row>
    <row r="62" spans="1:6" x14ac:dyDescent="0.3">
      <c r="D62" s="43"/>
    </row>
    <row r="63" spans="1:6" x14ac:dyDescent="0.3">
      <c r="A63" s="224" t="s">
        <v>96</v>
      </c>
      <c r="B63" s="225"/>
      <c r="C63" s="225"/>
      <c r="D63" s="225"/>
      <c r="E63" s="225"/>
      <c r="F63" s="226"/>
    </row>
    <row r="64" spans="1:6" ht="22.8" x14ac:dyDescent="0.3">
      <c r="A64" s="23" t="s">
        <v>97</v>
      </c>
      <c r="B64" s="24" t="s">
        <v>49</v>
      </c>
      <c r="C64" s="29" t="s">
        <v>30</v>
      </c>
      <c r="D64" s="40" t="s">
        <v>74</v>
      </c>
      <c r="E64" s="41"/>
      <c r="F64" s="57" t="s">
        <v>461</v>
      </c>
    </row>
    <row r="65" spans="1:6" x14ac:dyDescent="0.3">
      <c r="A65" s="23" t="s">
        <v>98</v>
      </c>
      <c r="B65" s="55"/>
      <c r="C65" s="29" t="s">
        <v>89</v>
      </c>
      <c r="D65" s="46" t="s">
        <v>49</v>
      </c>
      <c r="E65" s="41"/>
      <c r="F65" s="42" t="s">
        <v>99</v>
      </c>
    </row>
    <row r="66" spans="1:6" ht="22.8" x14ac:dyDescent="0.3">
      <c r="A66" s="23" t="s">
        <v>100</v>
      </c>
      <c r="B66" s="24" t="s">
        <v>49</v>
      </c>
      <c r="C66" s="29" t="s">
        <v>30</v>
      </c>
      <c r="D66" s="40" t="s">
        <v>74</v>
      </c>
      <c r="E66" s="41"/>
      <c r="F66" s="57" t="s">
        <v>461</v>
      </c>
    </row>
    <row r="67" spans="1:6" x14ac:dyDescent="0.3">
      <c r="A67" s="23" t="s">
        <v>101</v>
      </c>
      <c r="B67" s="55"/>
      <c r="C67" s="29" t="s">
        <v>89</v>
      </c>
      <c r="D67" s="46" t="s">
        <v>49</v>
      </c>
      <c r="E67" s="41"/>
      <c r="F67" s="42" t="s">
        <v>99</v>
      </c>
    </row>
    <row r="68" spans="1:6" ht="22.8" x14ac:dyDescent="0.3">
      <c r="A68" s="23" t="s">
        <v>102</v>
      </c>
      <c r="B68" s="24" t="s">
        <v>49</v>
      </c>
      <c r="C68" s="29" t="s">
        <v>30</v>
      </c>
      <c r="D68" s="40" t="s">
        <v>74</v>
      </c>
      <c r="E68" s="41"/>
      <c r="F68" s="57" t="s">
        <v>461</v>
      </c>
    </row>
    <row r="69" spans="1:6" x14ac:dyDescent="0.3">
      <c r="A69" s="23" t="s">
        <v>103</v>
      </c>
      <c r="B69" s="55"/>
      <c r="C69" s="29" t="s">
        <v>89</v>
      </c>
      <c r="D69" s="46" t="s">
        <v>49</v>
      </c>
      <c r="E69" s="41"/>
      <c r="F69" s="42" t="s">
        <v>99</v>
      </c>
    </row>
    <row r="70" spans="1:6" ht="22.8" x14ac:dyDescent="0.3">
      <c r="A70" s="23" t="s">
        <v>104</v>
      </c>
      <c r="B70" s="24" t="s">
        <v>49</v>
      </c>
      <c r="C70" s="29" t="s">
        <v>30</v>
      </c>
      <c r="D70" s="40" t="s">
        <v>74</v>
      </c>
      <c r="E70" s="41"/>
      <c r="F70" s="57" t="s">
        <v>461</v>
      </c>
    </row>
    <row r="71" spans="1:6" x14ac:dyDescent="0.3">
      <c r="A71" s="23" t="s">
        <v>105</v>
      </c>
      <c r="B71" s="55"/>
      <c r="C71" s="29" t="s">
        <v>89</v>
      </c>
      <c r="D71" s="46" t="s">
        <v>49</v>
      </c>
      <c r="E71" s="41"/>
      <c r="F71" s="42" t="s">
        <v>99</v>
      </c>
    </row>
  </sheetData>
  <sheetProtection sheet="1" formatCells="0" formatColumns="0" formatRows="0" sort="0" autoFilter="0" pivotTables="0"/>
  <mergeCells count="12">
    <mergeCell ref="A1:F1"/>
    <mergeCell ref="A22:F22"/>
    <mergeCell ref="A45:F45"/>
    <mergeCell ref="A27:F27"/>
    <mergeCell ref="A63:F63"/>
    <mergeCell ref="A3:F3"/>
    <mergeCell ref="A37:F37"/>
    <mergeCell ref="A31:F31"/>
    <mergeCell ref="A53:F53"/>
    <mergeCell ref="A41:F41"/>
    <mergeCell ref="A13:F13"/>
    <mergeCell ref="A18:F18"/>
  </mergeCells>
  <dataValidations count="10">
    <dataValidation type="list" allowBlank="1" errorTitle="Invalid entry" error="Choose from the list" sqref="B7" xr:uid="{00000000-0002-0000-0100-000000000000}">
      <formula1>"Please select,e-Methanol,e-SAF"</formula1>
    </dataValidation>
    <dataValidation type="list" allowBlank="1" errorTitle="Invalid entry" error="Choose from the list" sqref="B8" xr:uid="{00000000-0002-0000-0100-000001000000}">
      <formula1>"Please select,FT,ATJ (Ethanol), MTJ (Methanol)"</formula1>
    </dataValidation>
    <dataValidation type="list" allowBlank="1" errorTitle="Invalid entry" error="Choose from the list" sqref="B9:B12 B17 B26 B21" xr:uid="{00000000-0002-0000-0100-000003000000}">
      <formula1>"Please select,Yes,No"</formula1>
    </dataValidation>
    <dataValidation type="list" allowBlank="1" errorTitle="Invalid entry" error="Choose from the list" sqref="D52 D62" xr:uid="{00000000-0002-0000-0100-000004000000}">
      <formula1>"Please select,User/Site/Design,Default,Calculated"</formula1>
    </dataValidation>
    <dataValidation type="list" allowBlank="1" errorTitle="Invalid entry" error="Choose from the list" sqref="B24" xr:uid="{00000000-0002-0000-0100-00000A000000}">
      <formula1>"Please select,Biogenic,DAC"</formula1>
    </dataValidation>
    <dataValidation type="list" allowBlank="1" errorTitle="Invalid entry" error="Choose from the list" sqref="B39:B40" xr:uid="{00000000-0002-0000-0100-000014000000}">
      <formula1>"Please select,Water (municipal supply),Water (desalinated),Deionized water,Other"</formula1>
    </dataValidation>
    <dataValidation type="list" allowBlank="1" errorTitle="Invalid entry" error="Choose from the list" sqref="B43:B44" xr:uid="{00000000-0002-0000-0100-000016000000}">
      <formula1>"Please select,Natural gas boiler,Coal boiler,Waste heat (industrial),Electric boiler (grid),Other"</formula1>
    </dataValidation>
    <dataValidation type="list" allowBlank="1" errorTitle="Invalid entry" error="Choose from the list" sqref="B46 B50 B48" xr:uid="{00000000-0002-0000-0100-000017000000}">
      <formula1>"Please select,Natural Gas,Diesel,Gasoline,Heavy fuel oil,Methanol,Hard coal,Lignite,LPG (derived),Other"</formula1>
    </dataValidation>
    <dataValidation type="list" allowBlank="1" errorTitle="Invalid entry" error="Choose from the list" sqref="B64 B70 B68 B66" xr:uid="{00000000-0002-0000-0100-000025000000}">
      <formula1>"Please select,CO₂,CH₄,N₂O,Other"</formula1>
    </dataValidation>
    <dataValidation type="list" allowBlank="1" showInputMessage="1" showErrorMessage="1" sqref="D14:D16 D19:D20 D25 D23 D28:D29 D32:D34 D38 D42 D47 D49 D51 D55 D57 D59 D61 D65 D67 D69 D71" xr:uid="{6557EBCD-2000-4887-94BD-DB3B2667444A}">
      <formula1>"Please select,User/Site/Design,Default,Calculated,Other"</formula1>
    </dataValidation>
  </dataValidations>
  <pageMargins left="0.75" right="0.75" top="1" bottom="1" header="0.5" footer="0.5"/>
  <pageSetup paperSize="9" orientation="portrait" horizontalDpi="0" verticalDpi="0" r:id="rId1"/>
  <extLst>
    <ext xmlns:x14="http://schemas.microsoft.com/office/spreadsheetml/2009/9/main" uri="{CCE6A557-97BC-4b89-ADB6-D9C93CAAB3DF}">
      <x14:dataValidations xmlns:xm="http://schemas.microsoft.com/office/excel/2006/main" count="1">
        <x14:dataValidation type="list" allowBlank="1" errorTitle="Invalid entry" error="Choose from the list" xr:uid="{00000000-0002-0000-0100-00001D000000}">
          <x14:formula1>
            <xm:f>'Emission Factors'!$A$39:$A$57</xm:f>
          </x14:formula1>
          <xm:sqref>B54 B56 B58 B60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B7A6B"/>
  </sheetPr>
  <dimension ref="A1:L56"/>
  <sheetViews>
    <sheetView zoomScale="90" zoomScaleNormal="90" workbookViewId="0">
      <pane ySplit="14" topLeftCell="A15" activePane="bottomLeft" state="frozen"/>
      <selection pane="bottomLeft" activeCell="A15" sqref="A15"/>
    </sheetView>
  </sheetViews>
  <sheetFormatPr defaultRowHeight="14.4" x14ac:dyDescent="0.3"/>
  <cols>
    <col min="1" max="1" width="40.77734375" style="1" customWidth="1"/>
    <col min="2" max="2" width="15.77734375" style="1" customWidth="1"/>
    <col min="3" max="4" width="30.77734375" style="1" customWidth="1"/>
    <col min="5" max="6" width="15.77734375" style="1" customWidth="1"/>
    <col min="7" max="7" width="30.77734375" style="1" customWidth="1"/>
    <col min="8" max="10" width="15.77734375" style="1" customWidth="1"/>
    <col min="11" max="11" width="30.77734375" style="1" customWidth="1"/>
    <col min="12" max="12" width="15.77734375" style="1" customWidth="1"/>
    <col min="13" max="16384" width="8.88671875" style="1"/>
  </cols>
  <sheetData>
    <row r="1" spans="1:12" ht="21" x14ac:dyDescent="0.4">
      <c r="A1" s="223" t="s">
        <v>561</v>
      </c>
      <c r="B1" s="223"/>
      <c r="C1" s="223"/>
      <c r="D1" s="223"/>
      <c r="E1" s="223"/>
      <c r="F1" s="223"/>
      <c r="G1" s="223"/>
      <c r="H1" s="223"/>
      <c r="I1" s="223"/>
      <c r="J1" s="223"/>
      <c r="K1" s="223"/>
      <c r="L1" s="223"/>
    </row>
    <row r="2" spans="1:12" ht="14.4" customHeight="1" x14ac:dyDescent="0.3">
      <c r="A2" s="58" t="s">
        <v>106</v>
      </c>
      <c r="B2" s="244" t="s">
        <v>465</v>
      </c>
      <c r="C2" s="245"/>
      <c r="D2" s="245"/>
      <c r="E2" s="245"/>
      <c r="F2" s="245"/>
      <c r="G2" s="245"/>
      <c r="H2" s="245"/>
      <c r="I2" s="245"/>
      <c r="J2" s="245"/>
      <c r="K2" s="245"/>
      <c r="L2" s="246"/>
    </row>
    <row r="3" spans="1:12" ht="14.4" customHeight="1" x14ac:dyDescent="0.3">
      <c r="A3" s="58" t="s">
        <v>107</v>
      </c>
      <c r="B3" s="244" t="s">
        <v>466</v>
      </c>
      <c r="C3" s="245"/>
      <c r="D3" s="245"/>
      <c r="E3" s="245"/>
      <c r="F3" s="245"/>
      <c r="G3" s="245"/>
      <c r="H3" s="245"/>
      <c r="I3" s="245"/>
      <c r="J3" s="245"/>
      <c r="K3" s="245"/>
      <c r="L3" s="246"/>
    </row>
    <row r="4" spans="1:12" ht="14.4" customHeight="1" x14ac:dyDescent="0.3">
      <c r="A4" s="58" t="s">
        <v>108</v>
      </c>
      <c r="B4" s="244" t="s">
        <v>467</v>
      </c>
      <c r="C4" s="245"/>
      <c r="D4" s="245"/>
      <c r="E4" s="245"/>
      <c r="F4" s="245"/>
      <c r="G4" s="245"/>
      <c r="H4" s="245"/>
      <c r="I4" s="245"/>
      <c r="J4" s="245"/>
      <c r="K4" s="245"/>
      <c r="L4" s="246"/>
    </row>
    <row r="5" spans="1:12" ht="14.4" customHeight="1" x14ac:dyDescent="0.3">
      <c r="A5" s="59" t="s">
        <v>109</v>
      </c>
      <c r="B5" s="252" t="s">
        <v>468</v>
      </c>
      <c r="C5" s="253"/>
      <c r="D5" s="253"/>
      <c r="E5" s="253"/>
      <c r="F5" s="253"/>
      <c r="G5" s="253"/>
      <c r="H5" s="253"/>
      <c r="I5" s="253"/>
      <c r="J5" s="253"/>
      <c r="K5" s="253"/>
      <c r="L5" s="254"/>
    </row>
    <row r="6" spans="1:12" ht="14.4" customHeight="1" x14ac:dyDescent="0.3">
      <c r="A6" s="60" t="s">
        <v>40</v>
      </c>
      <c r="B6" s="255" t="s">
        <v>615</v>
      </c>
      <c r="C6" s="225"/>
      <c r="D6" s="225"/>
      <c r="E6" s="225"/>
      <c r="F6" s="225"/>
      <c r="G6" s="225"/>
      <c r="H6" s="225"/>
      <c r="I6" s="225"/>
      <c r="J6" s="225"/>
      <c r="K6" s="225"/>
      <c r="L6" s="248"/>
    </row>
    <row r="7" spans="1:12" x14ac:dyDescent="0.3">
      <c r="A7"/>
      <c r="B7"/>
      <c r="C7"/>
      <c r="D7"/>
      <c r="E7"/>
      <c r="F7"/>
      <c r="G7"/>
      <c r="H7"/>
      <c r="I7"/>
      <c r="J7"/>
      <c r="K7"/>
      <c r="L7"/>
    </row>
    <row r="8" spans="1:12" x14ac:dyDescent="0.3">
      <c r="A8" s="61" t="s">
        <v>554</v>
      </c>
      <c r="B8" s="62" t="str">
        <f>'Project Data'!B7</f>
        <v>e-Methanol</v>
      </c>
      <c r="C8" s="247" t="s">
        <v>555</v>
      </c>
      <c r="D8" s="225"/>
      <c r="E8" s="225"/>
      <c r="F8" s="225"/>
      <c r="G8" s="225"/>
      <c r="H8" s="225"/>
      <c r="I8" s="225"/>
      <c r="J8" s="225"/>
      <c r="K8" s="225"/>
      <c r="L8" s="248"/>
    </row>
    <row r="9" spans="1:12" x14ac:dyDescent="0.3">
      <c r="A9" s="61" t="s">
        <v>110</v>
      </c>
      <c r="B9" s="62">
        <f>'Project Data'!B14*1000</f>
        <v>600000000</v>
      </c>
      <c r="C9" s="247" t="s">
        <v>111</v>
      </c>
      <c r="D9" s="225"/>
      <c r="E9" s="225"/>
      <c r="F9" s="225"/>
      <c r="G9" s="225"/>
      <c r="H9" s="225"/>
      <c r="I9" s="225"/>
      <c r="J9" s="225"/>
      <c r="K9" s="225"/>
      <c r="L9" s="248"/>
    </row>
    <row r="10" spans="1:12" x14ac:dyDescent="0.3">
      <c r="A10" s="61" t="s">
        <v>112</v>
      </c>
      <c r="B10" s="62">
        <f>B9*IF('Project Data'!B7="e-Methanol",'Emission Factors'!$B$87,'Emission Factors'!$B$96)</f>
        <v>11940000000</v>
      </c>
      <c r="C10" s="247" t="s">
        <v>113</v>
      </c>
      <c r="D10" s="225"/>
      <c r="E10" s="225"/>
      <c r="F10" s="225"/>
      <c r="G10" s="225"/>
      <c r="H10" s="225"/>
      <c r="I10" s="225"/>
      <c r="J10" s="225"/>
      <c r="K10" s="225"/>
      <c r="L10" s="248"/>
    </row>
    <row r="11" spans="1:12" x14ac:dyDescent="0.3">
      <c r="A11"/>
      <c r="B11"/>
      <c r="C11"/>
      <c r="D11"/>
      <c r="E11"/>
      <c r="F11"/>
      <c r="G11"/>
      <c r="H11"/>
      <c r="I11"/>
      <c r="J11"/>
      <c r="K11"/>
      <c r="L11"/>
    </row>
    <row r="12" spans="1:12" x14ac:dyDescent="0.3">
      <c r="A12" s="256" t="s">
        <v>114</v>
      </c>
      <c r="B12" s="225"/>
      <c r="C12" s="225"/>
      <c r="D12" s="225"/>
      <c r="E12" s="225"/>
      <c r="F12" s="225"/>
      <c r="G12" s="225"/>
      <c r="H12" s="225"/>
      <c r="I12" s="225"/>
      <c r="J12" s="225"/>
      <c r="K12" s="225"/>
      <c r="L12" s="248"/>
    </row>
    <row r="13" spans="1:12" ht="14.4" customHeight="1" x14ac:dyDescent="0.3">
      <c r="A13" s="249" t="s">
        <v>115</v>
      </c>
      <c r="B13" s="249" t="s">
        <v>116</v>
      </c>
      <c r="C13" s="249" t="s">
        <v>117</v>
      </c>
      <c r="D13" s="2" t="s">
        <v>118</v>
      </c>
      <c r="E13" s="2" t="s">
        <v>119</v>
      </c>
      <c r="F13" s="249" t="s">
        <v>120</v>
      </c>
      <c r="G13" s="251" t="s">
        <v>121</v>
      </c>
      <c r="H13" s="249" t="s">
        <v>122</v>
      </c>
      <c r="I13" s="249" t="s">
        <v>123</v>
      </c>
      <c r="J13" s="251" t="s">
        <v>124</v>
      </c>
      <c r="K13" s="249" t="s">
        <v>26</v>
      </c>
      <c r="L13" s="249" t="s">
        <v>125</v>
      </c>
    </row>
    <row r="14" spans="1:12" ht="14.4" customHeight="1" x14ac:dyDescent="0.3">
      <c r="A14" s="250"/>
      <c r="B14" s="250"/>
      <c r="C14" s="250"/>
      <c r="D14" s="249" t="s">
        <v>562</v>
      </c>
      <c r="E14" s="248"/>
      <c r="F14" s="250"/>
      <c r="G14" s="250"/>
      <c r="H14" s="250"/>
      <c r="I14" s="250"/>
      <c r="J14" s="250"/>
      <c r="K14" s="250"/>
      <c r="L14" s="250"/>
    </row>
    <row r="15" spans="1:12" ht="26.4" x14ac:dyDescent="0.3">
      <c r="A15" s="23" t="s">
        <v>479</v>
      </c>
      <c r="B15" s="63" t="s">
        <v>483</v>
      </c>
      <c r="C15" s="3" t="s">
        <v>482</v>
      </c>
      <c r="D15" s="64" t="s">
        <v>483</v>
      </c>
      <c r="E15" s="65">
        <f>'Project Data'!B19</f>
        <v>0.16</v>
      </c>
      <c r="F15" s="39" t="s">
        <v>59</v>
      </c>
      <c r="G15" s="65">
        <f>'Project Data'!B20</f>
        <v>0</v>
      </c>
      <c r="H15" s="66"/>
      <c r="I15" s="65">
        <f>IF(H15&lt;&gt;"",H15,IF(ISNUMBER(G15),G15,0))</f>
        <v>0</v>
      </c>
      <c r="J15" s="39" t="s">
        <v>61</v>
      </c>
      <c r="K15" s="67"/>
      <c r="L15" s="68">
        <f>IF($B$10&gt;0,E15*I15*$B$9/$B$10,0)</f>
        <v>0</v>
      </c>
    </row>
    <row r="16" spans="1:12" ht="26.4" x14ac:dyDescent="0.3">
      <c r="A16" s="23" t="s">
        <v>480</v>
      </c>
      <c r="B16" s="63" t="s">
        <v>483</v>
      </c>
      <c r="C16" s="3" t="s">
        <v>485</v>
      </c>
      <c r="D16" s="64" t="s">
        <v>483</v>
      </c>
      <c r="E16" s="69">
        <f>'Project Data'!B23</f>
        <v>1.1499999999999999</v>
      </c>
      <c r="F16" s="39" t="s">
        <v>446</v>
      </c>
      <c r="G16" s="70">
        <f>'Project Data'!B25</f>
        <v>0</v>
      </c>
      <c r="H16" s="66"/>
      <c r="I16" s="65">
        <f>IF(ISNUMBER(H16),H16,IF(ISNUMBER(G16),G16,0))</f>
        <v>0</v>
      </c>
      <c r="J16" s="39" t="s">
        <v>445</v>
      </c>
      <c r="K16" s="67"/>
      <c r="L16" s="68">
        <f t="shared" ref="L16" si="0">IF($B$10&gt;0,E16*I16*$B$9/$B$10,0)</f>
        <v>0</v>
      </c>
    </row>
    <row r="17" spans="1:12" ht="26.4" x14ac:dyDescent="0.3">
      <c r="A17" s="23" t="s">
        <v>481</v>
      </c>
      <c r="B17" s="63" t="s">
        <v>483</v>
      </c>
      <c r="C17" s="3" t="s">
        <v>484</v>
      </c>
      <c r="D17" s="64" t="s">
        <v>483</v>
      </c>
      <c r="E17" s="69">
        <f>'Project Data'!B28</f>
        <v>0</v>
      </c>
      <c r="F17" s="39" t="s">
        <v>442</v>
      </c>
      <c r="G17" s="70">
        <f>'Project Data'!B29</f>
        <v>0</v>
      </c>
      <c r="H17" s="66"/>
      <c r="I17" s="65">
        <f>IF(ISNUMBER(H17),H17,IF(ISNUMBER(G17),G17,0))</f>
        <v>0</v>
      </c>
      <c r="J17" s="39" t="s">
        <v>133</v>
      </c>
      <c r="K17" s="67"/>
      <c r="L17" s="68">
        <f>IF($B$10&gt;0,E17*I17*$B$9/$B$10,0)</f>
        <v>0</v>
      </c>
    </row>
    <row r="18" spans="1:12" ht="30" customHeight="1" x14ac:dyDescent="0.3">
      <c r="A18" s="23" t="s">
        <v>474</v>
      </c>
      <c r="B18" s="229" t="s">
        <v>486</v>
      </c>
      <c r="C18" s="229" t="s">
        <v>487</v>
      </c>
      <c r="D18" s="71" t="str">
        <f>'Project Data'!A32</f>
        <v>Grid Electricity Consumption</v>
      </c>
      <c r="E18" s="65">
        <f>'Project Data'!B32*1000</f>
        <v>350000000</v>
      </c>
      <c r="F18" s="39" t="s">
        <v>126</v>
      </c>
      <c r="G18" s="65" t="s">
        <v>127</v>
      </c>
      <c r="H18" s="66">
        <v>608</v>
      </c>
      <c r="I18" s="65">
        <f t="shared" ref="I18:I29" si="1">IF(H18&lt;&gt;"",H18,IF(ISNUMBER(G18),G18,0))</f>
        <v>608</v>
      </c>
      <c r="J18" s="39" t="s">
        <v>128</v>
      </c>
      <c r="K18" s="67"/>
      <c r="L18" s="68">
        <f>IF($B$10&gt;0,E18*I18/$B$10,0)</f>
        <v>17.822445561139027</v>
      </c>
    </row>
    <row r="19" spans="1:12" ht="30" customHeight="1" x14ac:dyDescent="0.3">
      <c r="A19" s="23" t="s">
        <v>474</v>
      </c>
      <c r="B19" s="230"/>
      <c r="C19" s="231"/>
      <c r="D19" s="71" t="str">
        <f>'Project Data'!A33</f>
        <v>Renewable Electricity Consumption</v>
      </c>
      <c r="E19" s="65">
        <f>'Project Data'!B33*1000</f>
        <v>5650000000</v>
      </c>
      <c r="F19" s="39" t="s">
        <v>126</v>
      </c>
      <c r="G19" s="72">
        <v>0</v>
      </c>
      <c r="H19" s="66"/>
      <c r="I19" s="65">
        <f t="shared" si="1"/>
        <v>0</v>
      </c>
      <c r="J19" s="39" t="s">
        <v>128</v>
      </c>
      <c r="K19" s="67"/>
      <c r="L19" s="68">
        <f>IF($B$10&gt;0,E19*I19/$B$10,0)</f>
        <v>0</v>
      </c>
    </row>
    <row r="20" spans="1:12" ht="30" customHeight="1" x14ac:dyDescent="0.3">
      <c r="A20" s="23" t="s">
        <v>474</v>
      </c>
      <c r="B20" s="230"/>
      <c r="C20" s="231"/>
      <c r="D20" s="71" t="str">
        <f>'Project Data'!A34</f>
        <v>Other Electricity Consumption</v>
      </c>
      <c r="E20" s="65">
        <f>'Project Data'!B34*1000</f>
        <v>0</v>
      </c>
      <c r="F20" s="39" t="s">
        <v>126</v>
      </c>
      <c r="G20" s="65" t="s">
        <v>127</v>
      </c>
      <c r="H20" s="66"/>
      <c r="I20" s="65">
        <f t="shared" si="1"/>
        <v>0</v>
      </c>
      <c r="J20" s="39" t="s">
        <v>128</v>
      </c>
      <c r="K20" s="67"/>
      <c r="L20" s="68">
        <f>IF($B$10&gt;0,E20*I20/$B$10,0)</f>
        <v>0</v>
      </c>
    </row>
    <row r="21" spans="1:12" ht="39.6" x14ac:dyDescent="0.3">
      <c r="A21" s="23" t="s">
        <v>475</v>
      </c>
      <c r="B21" s="4" t="s">
        <v>129</v>
      </c>
      <c r="C21" s="6" t="s">
        <v>488</v>
      </c>
      <c r="D21" s="71" t="str">
        <f>'Project Data'!B39</f>
        <v>Deionized water</v>
      </c>
      <c r="E21" s="73">
        <f>'Project Data'!B38</f>
        <v>1100000</v>
      </c>
      <c r="F21" s="39" t="s">
        <v>72</v>
      </c>
      <c r="G21" s="73">
        <f>IFERROR(VLOOKUP(D21,'Emission Factors'!$A$27:$B$31,2,FALSE),0)</f>
        <v>0.5</v>
      </c>
      <c r="H21" s="74"/>
      <c r="I21" s="73">
        <f t="shared" si="1"/>
        <v>0.5</v>
      </c>
      <c r="J21" s="39" t="s">
        <v>130</v>
      </c>
      <c r="K21" s="67"/>
      <c r="L21" s="75">
        <f>IF($B$10&gt;0,E21*I21*1000/$B$10,0)</f>
        <v>4.6063651591289785E-2</v>
      </c>
    </row>
    <row r="22" spans="1:12" x14ac:dyDescent="0.3">
      <c r="A22" s="23" t="s">
        <v>476</v>
      </c>
      <c r="B22" s="235" t="s">
        <v>129</v>
      </c>
      <c r="C22" s="232" t="s">
        <v>489</v>
      </c>
      <c r="D22" s="71" t="str">
        <f>'Project Data'!B46</f>
        <v>Diesel</v>
      </c>
      <c r="E22" s="73">
        <f>'Project Data'!B47</f>
        <v>20000</v>
      </c>
      <c r="F22" s="39" t="s">
        <v>77</v>
      </c>
      <c r="G22" s="73">
        <f>IFERROR(VLOOKUP(D22,'Emission Factors'!$A$15:$E$22,5,FALSE),0)</f>
        <v>95.1</v>
      </c>
      <c r="H22" s="74"/>
      <c r="I22" s="73">
        <f t="shared" si="1"/>
        <v>95.1</v>
      </c>
      <c r="J22" s="39" t="s">
        <v>131</v>
      </c>
      <c r="K22" s="67"/>
      <c r="L22" s="75">
        <f>IF($B$10&gt;0,E22*I22/$B$10,0)</f>
        <v>1.5929648241206029E-4</v>
      </c>
    </row>
    <row r="23" spans="1:12" x14ac:dyDescent="0.3">
      <c r="A23" s="23" t="s">
        <v>476</v>
      </c>
      <c r="B23" s="236"/>
      <c r="C23" s="233"/>
      <c r="D23" s="71" t="str">
        <f>'Project Data'!B48</f>
        <v>Please select</v>
      </c>
      <c r="E23" s="73">
        <f>'Project Data'!B49</f>
        <v>0</v>
      </c>
      <c r="F23" s="39" t="s">
        <v>77</v>
      </c>
      <c r="G23" s="73">
        <f>IFERROR(VLOOKUP(D23,'Emission Factors'!$A$15:$E$22,5,FALSE),0)</f>
        <v>0</v>
      </c>
      <c r="H23" s="74"/>
      <c r="I23" s="73">
        <f t="shared" si="1"/>
        <v>0</v>
      </c>
      <c r="J23" s="39" t="s">
        <v>131</v>
      </c>
      <c r="K23" s="67"/>
      <c r="L23" s="75">
        <f>IF($B$10&gt;0,E23*I23/$B$10,0)</f>
        <v>0</v>
      </c>
    </row>
    <row r="24" spans="1:12" x14ac:dyDescent="0.3">
      <c r="A24" s="23" t="s">
        <v>476</v>
      </c>
      <c r="B24" s="237"/>
      <c r="C24" s="234"/>
      <c r="D24" s="71" t="str">
        <f>'Project Data'!B50</f>
        <v>Please select</v>
      </c>
      <c r="E24" s="73">
        <f>'Project Data'!B51</f>
        <v>0</v>
      </c>
      <c r="F24" s="39" t="s">
        <v>77</v>
      </c>
      <c r="G24" s="73">
        <f>IFERROR(VLOOKUP(D24,'Emission Factors'!$A$15:$E$22,5,FALSE),0)</f>
        <v>0</v>
      </c>
      <c r="H24" s="74"/>
      <c r="I24" s="73">
        <f t="shared" si="1"/>
        <v>0</v>
      </c>
      <c r="J24" s="39" t="s">
        <v>131</v>
      </c>
      <c r="K24" s="67"/>
      <c r="L24" s="75">
        <f>IF($B$10&gt;0,E24*I24/$B$10,0)</f>
        <v>0</v>
      </c>
    </row>
    <row r="25" spans="1:12" x14ac:dyDescent="0.3">
      <c r="A25" s="23" t="s">
        <v>477</v>
      </c>
      <c r="B25" s="4" t="s">
        <v>129</v>
      </c>
      <c r="C25" s="6" t="s">
        <v>490</v>
      </c>
      <c r="D25" s="71" t="str">
        <f>'Project Data'!B43</f>
        <v>Please select</v>
      </c>
      <c r="E25" s="73">
        <f>'Project Data'!B42</f>
        <v>0</v>
      </c>
      <c r="F25" s="39" t="s">
        <v>77</v>
      </c>
      <c r="G25" s="73">
        <f>IFERROR(VLOOKUP(D25,'Emission Factors'!$A$61:$B$66,2,FALSE),0)</f>
        <v>0</v>
      </c>
      <c r="H25" s="74"/>
      <c r="I25" s="73">
        <f t="shared" si="1"/>
        <v>0</v>
      </c>
      <c r="J25" s="39" t="s">
        <v>132</v>
      </c>
      <c r="K25" s="67"/>
      <c r="L25" s="75">
        <f>IF($B$10&gt;0,E25*I25*1000/$B$10,0)</f>
        <v>0</v>
      </c>
    </row>
    <row r="26" spans="1:12" x14ac:dyDescent="0.3">
      <c r="A26" s="23" t="s">
        <v>478</v>
      </c>
      <c r="B26" s="235" t="s">
        <v>129</v>
      </c>
      <c r="C26" s="232" t="s">
        <v>491</v>
      </c>
      <c r="D26" s="71" t="str">
        <f>'Project Data'!B54</f>
        <v>Potassium hydroxide (KOH)</v>
      </c>
      <c r="E26" s="73">
        <f>'Project Data'!B55</f>
        <v>200000</v>
      </c>
      <c r="F26" s="39" t="s">
        <v>89</v>
      </c>
      <c r="G26" s="73">
        <f>IFERROR(VLOOKUP(D26,'Emission Factors'!$A$39:$B$57,2,FALSE),0)</f>
        <v>419.1</v>
      </c>
      <c r="H26" s="74"/>
      <c r="I26" s="73">
        <f t="shared" si="1"/>
        <v>419.1</v>
      </c>
      <c r="J26" s="39" t="s">
        <v>133</v>
      </c>
      <c r="K26" s="67"/>
      <c r="L26" s="75">
        <f>IF($B$10&gt;0,E26*I26/$B$10,0)</f>
        <v>7.0201005025125624E-3</v>
      </c>
    </row>
    <row r="27" spans="1:12" x14ac:dyDescent="0.3">
      <c r="A27" s="23" t="s">
        <v>478</v>
      </c>
      <c r="B27" s="236"/>
      <c r="C27" s="233"/>
      <c r="D27" s="71" t="str">
        <f>'Project Data'!B56</f>
        <v>Please select</v>
      </c>
      <c r="E27" s="73">
        <f>'Project Data'!B57</f>
        <v>0</v>
      </c>
      <c r="F27" s="39" t="s">
        <v>89</v>
      </c>
      <c r="G27" s="73">
        <f>IFERROR(VLOOKUP(D27,'Emission Factors'!$A$39:$B$57,2,FALSE),0)</f>
        <v>0</v>
      </c>
      <c r="H27" s="74"/>
      <c r="I27" s="73">
        <f t="shared" si="1"/>
        <v>0</v>
      </c>
      <c r="J27" s="39" t="s">
        <v>133</v>
      </c>
      <c r="K27" s="67"/>
      <c r="L27" s="75">
        <f>IF($B$10&gt;0,E27*I27/$B$10,0)</f>
        <v>0</v>
      </c>
    </row>
    <row r="28" spans="1:12" x14ac:dyDescent="0.3">
      <c r="A28" s="23" t="s">
        <v>478</v>
      </c>
      <c r="B28" s="236"/>
      <c r="C28" s="233"/>
      <c r="D28" s="71" t="str">
        <f>'Project Data'!B58</f>
        <v>Please select</v>
      </c>
      <c r="E28" s="73">
        <f>'Project Data'!B59</f>
        <v>0</v>
      </c>
      <c r="F28" s="39" t="s">
        <v>89</v>
      </c>
      <c r="G28" s="73">
        <f>IFERROR(VLOOKUP(D28,'Emission Factors'!$A$39:$B$57,2,FALSE),0)</f>
        <v>0</v>
      </c>
      <c r="H28" s="74"/>
      <c r="I28" s="73">
        <f t="shared" si="1"/>
        <v>0</v>
      </c>
      <c r="J28" s="39" t="s">
        <v>133</v>
      </c>
      <c r="K28" s="67"/>
      <c r="L28" s="75">
        <f>IF($B$10&gt;0,E28*I28/$B$10,0)</f>
        <v>0</v>
      </c>
    </row>
    <row r="29" spans="1:12" x14ac:dyDescent="0.3">
      <c r="A29" s="23" t="s">
        <v>478</v>
      </c>
      <c r="B29" s="237"/>
      <c r="C29" s="234"/>
      <c r="D29" s="71" t="str">
        <f>'Project Data'!B60</f>
        <v>Please select</v>
      </c>
      <c r="E29" s="73">
        <f>'Project Data'!B61</f>
        <v>0</v>
      </c>
      <c r="F29" s="39" t="s">
        <v>89</v>
      </c>
      <c r="G29" s="73">
        <f>IFERROR(VLOOKUP(D29,'Emission Factors'!$A$39:$B$57,2,FALSE),0)</f>
        <v>0</v>
      </c>
      <c r="H29" s="74"/>
      <c r="I29" s="73">
        <f t="shared" si="1"/>
        <v>0</v>
      </c>
      <c r="J29" s="39" t="s">
        <v>133</v>
      </c>
      <c r="K29" s="67"/>
      <c r="L29" s="75">
        <f>IF($B$10&gt;0,E29*I29/$B$10,0)</f>
        <v>0</v>
      </c>
    </row>
    <row r="30" spans="1:12" x14ac:dyDescent="0.3">
      <c r="A30" s="76" t="s">
        <v>134</v>
      </c>
      <c r="B30" s="77" t="s">
        <v>135</v>
      </c>
      <c r="C30" s="78" t="s">
        <v>136</v>
      </c>
      <c r="D30" s="78"/>
      <c r="E30" s="78"/>
      <c r="F30" s="78"/>
      <c r="G30" s="78"/>
      <c r="H30" s="78"/>
      <c r="I30" s="78"/>
      <c r="J30" s="78"/>
      <c r="K30" s="78"/>
      <c r="L30" s="79">
        <f>SUM(L15:L29)</f>
        <v>17.87568860971524</v>
      </c>
    </row>
    <row r="31" spans="1:12" ht="52.8" x14ac:dyDescent="0.3">
      <c r="A31" s="80" t="s">
        <v>492</v>
      </c>
      <c r="B31" s="6" t="s">
        <v>493</v>
      </c>
      <c r="C31" s="6" t="s">
        <v>494</v>
      </c>
      <c r="D31" s="81"/>
      <c r="E31" s="82"/>
      <c r="F31" s="39" t="s">
        <v>147</v>
      </c>
      <c r="G31" s="6" t="s">
        <v>30</v>
      </c>
      <c r="H31" s="6" t="s">
        <v>30</v>
      </c>
      <c r="I31" s="6" t="s">
        <v>30</v>
      </c>
      <c r="J31" s="6" t="s">
        <v>30</v>
      </c>
      <c r="K31" s="83"/>
      <c r="L31" s="84">
        <f>IF(B$10&gt;0,E31*1000/$B$10,0)</f>
        <v>0</v>
      </c>
    </row>
    <row r="32" spans="1:12" ht="39.6" x14ac:dyDescent="0.3">
      <c r="A32" s="80" t="s">
        <v>495</v>
      </c>
      <c r="B32" s="6" t="s">
        <v>496</v>
      </c>
      <c r="C32" s="6" t="s">
        <v>497</v>
      </c>
      <c r="D32" s="81"/>
      <c r="E32" s="82"/>
      <c r="F32" s="39" t="s">
        <v>147</v>
      </c>
      <c r="G32" s="6" t="s">
        <v>30</v>
      </c>
      <c r="H32" s="6" t="s">
        <v>30</v>
      </c>
      <c r="I32" s="6" t="s">
        <v>30</v>
      </c>
      <c r="J32" s="6" t="s">
        <v>30</v>
      </c>
      <c r="K32" s="83"/>
      <c r="L32" s="84">
        <f>IF(B$10&gt;0,E32*1000/$B$10,0)</f>
        <v>0</v>
      </c>
    </row>
    <row r="33" spans="1:12" ht="26.4" x14ac:dyDescent="0.3">
      <c r="A33" s="85" t="s">
        <v>543</v>
      </c>
      <c r="B33" s="86" t="s">
        <v>544</v>
      </c>
      <c r="C33" s="87" t="s">
        <v>545</v>
      </c>
      <c r="D33" s="87"/>
      <c r="E33" s="88"/>
      <c r="F33" s="88"/>
      <c r="G33" s="89"/>
      <c r="H33" s="88"/>
      <c r="I33" s="88"/>
      <c r="J33" s="89"/>
      <c r="K33" s="88"/>
      <c r="L33" s="90">
        <f>L30+L31-L32</f>
        <v>17.87568860971524</v>
      </c>
    </row>
    <row r="34" spans="1:12" ht="26.4" x14ac:dyDescent="0.3">
      <c r="A34" s="80" t="s">
        <v>498</v>
      </c>
      <c r="B34" s="238" t="s">
        <v>137</v>
      </c>
      <c r="C34" s="241" t="s">
        <v>499</v>
      </c>
      <c r="D34" s="71" t="str">
        <f>'Project Data'!B64</f>
        <v>Please select</v>
      </c>
      <c r="E34" s="73">
        <f>'Project Data'!B65</f>
        <v>0</v>
      </c>
      <c r="F34" s="39" t="s">
        <v>89</v>
      </c>
      <c r="G34" s="73">
        <f>IFERROR(VLOOKUP(D34,'Emission Factors'!$A$71:$E$73,5,FALSE),0)</f>
        <v>0</v>
      </c>
      <c r="H34" s="55"/>
      <c r="I34" s="91">
        <f>IF(H34&lt;&gt;"",H34,IF(ISNUMBER(G34),G34,0))</f>
        <v>0</v>
      </c>
      <c r="J34" s="39" t="s">
        <v>138</v>
      </c>
      <c r="K34" s="83"/>
      <c r="L34" s="75">
        <f>IF($B$10&gt;0,E34*I34*1000/$B$10,0)</f>
        <v>0</v>
      </c>
    </row>
    <row r="35" spans="1:12" ht="26.4" x14ac:dyDescent="0.3">
      <c r="A35" s="80" t="s">
        <v>498</v>
      </c>
      <c r="B35" s="239"/>
      <c r="C35" s="233"/>
      <c r="D35" s="71" t="str">
        <f>'Project Data'!B66</f>
        <v>Please select</v>
      </c>
      <c r="E35" s="73">
        <f>'Project Data'!B67</f>
        <v>0</v>
      </c>
      <c r="F35" s="39" t="s">
        <v>89</v>
      </c>
      <c r="G35" s="73">
        <f>IFERROR(VLOOKUP(D35,'Emission Factors'!$A$71:$E$73,5,FALSE),0)</f>
        <v>0</v>
      </c>
      <c r="H35" s="55"/>
      <c r="I35" s="91">
        <f>IF(H35&lt;&gt;"",H35,IF(ISNUMBER(G35),G35,0))</f>
        <v>0</v>
      </c>
      <c r="J35" s="39" t="s">
        <v>138</v>
      </c>
      <c r="K35" s="83"/>
      <c r="L35" s="75">
        <f>IF($B$10&gt;0,E35*I35*1000/$B$10,0)</f>
        <v>0</v>
      </c>
    </row>
    <row r="36" spans="1:12" ht="26.4" x14ac:dyDescent="0.3">
      <c r="A36" s="80" t="s">
        <v>498</v>
      </c>
      <c r="B36" s="239"/>
      <c r="C36" s="233"/>
      <c r="D36" s="71" t="str">
        <f>'Project Data'!B68</f>
        <v>Please select</v>
      </c>
      <c r="E36" s="73">
        <f>'Project Data'!B69</f>
        <v>0</v>
      </c>
      <c r="F36" s="39" t="s">
        <v>89</v>
      </c>
      <c r="G36" s="73">
        <f>IFERROR(VLOOKUP(D36,'Emission Factors'!$A$71:$E$73,5,FALSE),0)</f>
        <v>0</v>
      </c>
      <c r="H36" s="55"/>
      <c r="I36" s="91">
        <f>IF(H36&lt;&gt;"",H36,IF(ISNUMBER(G36),G36,0))</f>
        <v>0</v>
      </c>
      <c r="J36" s="39" t="s">
        <v>138</v>
      </c>
      <c r="K36" s="83"/>
      <c r="L36" s="75">
        <f>IF($B$10&gt;0,E36*I36*1000/$B$10,0)</f>
        <v>0</v>
      </c>
    </row>
    <row r="37" spans="1:12" ht="26.4" x14ac:dyDescent="0.3">
      <c r="A37" s="80" t="s">
        <v>498</v>
      </c>
      <c r="B37" s="240"/>
      <c r="C37" s="233"/>
      <c r="D37" s="71" t="str">
        <f>'Project Data'!B70</f>
        <v>Please select</v>
      </c>
      <c r="E37" s="73">
        <f>'Project Data'!B71</f>
        <v>0</v>
      </c>
      <c r="F37" s="39" t="s">
        <v>89</v>
      </c>
      <c r="G37" s="73">
        <f>IFERROR(VLOOKUP(D37,'Emission Factors'!$A$71:$E$73,5,FALSE),0)</f>
        <v>0</v>
      </c>
      <c r="H37" s="55"/>
      <c r="I37" s="91">
        <f>IF(H37&lt;&gt;"",H37,IF(ISNUMBER(G37),G37,0))</f>
        <v>0</v>
      </c>
      <c r="J37" s="39" t="s">
        <v>138</v>
      </c>
      <c r="K37" s="83"/>
      <c r="L37" s="75">
        <f>IF($B$10&gt;0,E37*I37*1000/$B$10,0)</f>
        <v>0</v>
      </c>
    </row>
    <row r="38" spans="1:12" ht="28.8" x14ac:dyDescent="0.3">
      <c r="A38" s="5" t="s">
        <v>139</v>
      </c>
      <c r="B38" s="4" t="s">
        <v>140</v>
      </c>
      <c r="C38" s="92" t="s">
        <v>141</v>
      </c>
      <c r="D38" s="81"/>
      <c r="E38" s="55"/>
      <c r="F38" s="39" t="s">
        <v>142</v>
      </c>
      <c r="G38" s="4" t="s">
        <v>30</v>
      </c>
      <c r="H38" s="4" t="s">
        <v>30</v>
      </c>
      <c r="I38" s="4" t="s">
        <v>30</v>
      </c>
      <c r="J38" s="39" t="s">
        <v>30</v>
      </c>
      <c r="K38" s="83"/>
      <c r="L38" s="93">
        <f>IF(ISNUMBER(E38),E38,0)</f>
        <v>0</v>
      </c>
    </row>
    <row r="39" spans="1:12" ht="28.8" x14ac:dyDescent="0.3">
      <c r="A39" s="5" t="s">
        <v>143</v>
      </c>
      <c r="B39" s="4" t="s">
        <v>144</v>
      </c>
      <c r="C39" s="92" t="s">
        <v>500</v>
      </c>
      <c r="D39" s="4" t="s">
        <v>30</v>
      </c>
      <c r="E39" s="4" t="s">
        <v>30</v>
      </c>
      <c r="F39" s="4" t="s">
        <v>30</v>
      </c>
      <c r="G39" s="4" t="s">
        <v>30</v>
      </c>
      <c r="H39" s="74"/>
      <c r="I39" s="73">
        <f>IF(H39&lt;&gt;"",H39,IF(ISNUMBER(G39),G39,0))</f>
        <v>0</v>
      </c>
      <c r="J39" s="39" t="s">
        <v>546</v>
      </c>
      <c r="K39" s="83"/>
      <c r="L39" s="93">
        <f>I39</f>
        <v>0</v>
      </c>
    </row>
    <row r="40" spans="1:12" x14ac:dyDescent="0.3">
      <c r="A40" s="5" t="s">
        <v>143</v>
      </c>
      <c r="B40" s="4"/>
      <c r="C40" s="92" t="s">
        <v>501</v>
      </c>
      <c r="D40" s="4" t="s">
        <v>30</v>
      </c>
      <c r="E40" s="4" t="s">
        <v>30</v>
      </c>
      <c r="F40" s="4" t="s">
        <v>30</v>
      </c>
      <c r="G40" s="65" t="s">
        <v>127</v>
      </c>
      <c r="H40" s="66"/>
      <c r="I40" s="65">
        <f t="shared" ref="I40:I41" si="2">IF(H40&lt;&gt;"",H40,IF(ISNUMBER(G40),G40,0))</f>
        <v>0</v>
      </c>
      <c r="J40" s="39" t="s">
        <v>547</v>
      </c>
      <c r="K40" s="83"/>
      <c r="L40" s="93">
        <f>IF('Project Data'!$B$14&lt;&gt;"",I40*'Emission Factors'!E72,0)</f>
        <v>0</v>
      </c>
    </row>
    <row r="41" spans="1:12" x14ac:dyDescent="0.3">
      <c r="A41" s="5" t="s">
        <v>143</v>
      </c>
      <c r="B41" s="4"/>
      <c r="C41" s="92" t="s">
        <v>502</v>
      </c>
      <c r="D41" s="4" t="s">
        <v>30</v>
      </c>
      <c r="E41" s="4" t="s">
        <v>30</v>
      </c>
      <c r="F41" s="4" t="s">
        <v>30</v>
      </c>
      <c r="G41" s="65" t="s">
        <v>127</v>
      </c>
      <c r="H41" s="66"/>
      <c r="I41" s="65">
        <f t="shared" si="2"/>
        <v>0</v>
      </c>
      <c r="J41" s="39" t="s">
        <v>548</v>
      </c>
      <c r="K41" s="83"/>
      <c r="L41" s="93">
        <f>IF('Project Data'!$B$14&lt;&gt;"",I41*'Emission Factors'!E73,0)</f>
        <v>0</v>
      </c>
    </row>
    <row r="42" spans="1:12" ht="26.4" x14ac:dyDescent="0.3">
      <c r="A42" s="5" t="s">
        <v>145</v>
      </c>
      <c r="B42" s="4" t="s">
        <v>146</v>
      </c>
      <c r="C42" s="80" t="s">
        <v>624</v>
      </c>
      <c r="D42" s="4" t="s">
        <v>30</v>
      </c>
      <c r="E42" s="4" t="s">
        <v>30</v>
      </c>
      <c r="F42" s="4" t="s">
        <v>30</v>
      </c>
      <c r="G42" s="4" t="s">
        <v>30</v>
      </c>
      <c r="H42" s="4" t="s">
        <v>30</v>
      </c>
      <c r="I42" s="4" t="s">
        <v>30</v>
      </c>
      <c r="J42" s="4" t="s">
        <v>30</v>
      </c>
      <c r="K42" s="4" t="s">
        <v>30</v>
      </c>
      <c r="L42" s="93">
        <f>0</f>
        <v>0</v>
      </c>
    </row>
    <row r="43" spans="1:12" ht="39.6" x14ac:dyDescent="0.3">
      <c r="A43" s="94" t="s">
        <v>610</v>
      </c>
      <c r="B43" s="95"/>
      <c r="C43" s="96" t="s">
        <v>612</v>
      </c>
      <c r="D43" s="96"/>
      <c r="E43" s="97"/>
      <c r="F43" s="97"/>
      <c r="G43" s="98"/>
      <c r="H43" s="97"/>
      <c r="I43" s="97"/>
      <c r="J43" s="98"/>
      <c r="K43" s="99" t="s">
        <v>369</v>
      </c>
      <c r="L43" s="100">
        <v>1</v>
      </c>
    </row>
    <row r="44" spans="1:12" ht="15.6" x14ac:dyDescent="0.3">
      <c r="A44" s="94" t="s">
        <v>148</v>
      </c>
      <c r="B44" s="95" t="s">
        <v>149</v>
      </c>
      <c r="C44" s="96" t="s">
        <v>551</v>
      </c>
      <c r="D44" s="96"/>
      <c r="E44" s="97"/>
      <c r="F44" s="97"/>
      <c r="G44" s="98"/>
      <c r="H44" s="97"/>
      <c r="I44" s="97"/>
      <c r="J44" s="98"/>
      <c r="K44" s="99" t="s">
        <v>131</v>
      </c>
      <c r="L44" s="101">
        <f>L43*(L33+L34+L35+L36+L37+L38+L39+L40+L41-L42)</f>
        <v>17.87568860971524</v>
      </c>
    </row>
    <row r="45" spans="1:12" ht="31.2" x14ac:dyDescent="0.3">
      <c r="A45" s="94" t="s">
        <v>552</v>
      </c>
      <c r="B45" s="95" t="s">
        <v>30</v>
      </c>
      <c r="C45" s="96"/>
      <c r="D45" s="96"/>
      <c r="E45" s="97"/>
      <c r="F45" s="97"/>
      <c r="G45" s="98"/>
      <c r="H45" s="97"/>
      <c r="I45" s="97"/>
      <c r="J45" s="102"/>
      <c r="K45" s="99" t="s">
        <v>342</v>
      </c>
      <c r="L45" s="101">
        <f>L44*IF('Project Data'!B7="e-Methanol",'Emission Factors'!$B$87,'Emission Factors'!$B$96)/1000</f>
        <v>0.35572620333333327</v>
      </c>
    </row>
    <row r="46" spans="1:12" ht="26.4" x14ac:dyDescent="0.3">
      <c r="A46" s="80" t="s">
        <v>150</v>
      </c>
      <c r="B46" s="6" t="s">
        <v>151</v>
      </c>
      <c r="C46" s="80" t="s">
        <v>553</v>
      </c>
      <c r="D46" s="6" t="s">
        <v>30</v>
      </c>
      <c r="E46" s="6" t="s">
        <v>30</v>
      </c>
      <c r="F46" s="6" t="s">
        <v>30</v>
      </c>
      <c r="G46" s="6" t="s">
        <v>30</v>
      </c>
      <c r="H46" s="6" t="s">
        <v>30</v>
      </c>
      <c r="I46" s="6" t="s">
        <v>30</v>
      </c>
      <c r="J46" s="6" t="s">
        <v>30</v>
      </c>
      <c r="K46" s="103" t="s">
        <v>152</v>
      </c>
      <c r="L46" s="104">
        <v>94</v>
      </c>
    </row>
    <row r="47" spans="1:12" ht="15.6" x14ac:dyDescent="0.3">
      <c r="A47" s="105" t="s">
        <v>153</v>
      </c>
      <c r="B47" s="106" t="s">
        <v>154</v>
      </c>
      <c r="C47" s="107" t="s">
        <v>155</v>
      </c>
      <c r="D47" s="107"/>
      <c r="E47" s="108"/>
      <c r="F47" s="108"/>
      <c r="G47" s="109"/>
      <c r="H47" s="108"/>
      <c r="I47" s="108"/>
      <c r="J47" s="109"/>
      <c r="K47" s="108"/>
      <c r="L47" s="110">
        <f>IF(L46&gt;0,(L46-L44)/L46,0)</f>
        <v>0.80983309989664642</v>
      </c>
    </row>
    <row r="48" spans="1:12" ht="26.4" x14ac:dyDescent="0.3">
      <c r="A48" s="111" t="s">
        <v>156</v>
      </c>
      <c r="B48" s="95" t="s">
        <v>149</v>
      </c>
      <c r="C48" s="112" t="s">
        <v>596</v>
      </c>
      <c r="D48" s="112"/>
      <c r="E48" s="113"/>
      <c r="F48" s="113"/>
      <c r="G48" s="113"/>
      <c r="H48" s="113"/>
      <c r="I48" s="113"/>
      <c r="J48" s="113"/>
      <c r="K48" s="113"/>
      <c r="L48" s="114" t="str">
        <f>IF(L47&gt;=0.7,"PASS","FAIL")</f>
        <v>PASS</v>
      </c>
    </row>
    <row r="49" spans="1:12" x14ac:dyDescent="0.3">
      <c r="A49"/>
      <c r="B49"/>
      <c r="C49"/>
      <c r="D49"/>
      <c r="E49"/>
      <c r="F49"/>
      <c r="G49"/>
      <c r="H49"/>
      <c r="I49"/>
      <c r="J49"/>
      <c r="K49"/>
      <c r="L49"/>
    </row>
    <row r="50" spans="1:12" x14ac:dyDescent="0.3">
      <c r="A50" s="242" t="s">
        <v>161</v>
      </c>
      <c r="B50" s="243"/>
      <c r="C50" s="243"/>
      <c r="D50" s="243"/>
      <c r="E50" s="243"/>
      <c r="F50" s="243"/>
      <c r="G50" s="243"/>
      <c r="H50" s="243"/>
      <c r="I50" s="243"/>
      <c r="J50" s="243"/>
      <c r="K50" s="243"/>
      <c r="L50" s="243"/>
    </row>
    <row r="51" spans="1:12" ht="14.4" customHeight="1" x14ac:dyDescent="0.3">
      <c r="A51" s="227" t="s">
        <v>469</v>
      </c>
      <c r="B51" s="228"/>
      <c r="C51" s="228"/>
      <c r="D51" s="228"/>
      <c r="E51" s="228"/>
      <c r="F51" s="228"/>
      <c r="G51" s="228"/>
      <c r="H51" s="228"/>
      <c r="I51" s="228"/>
      <c r="J51" s="228"/>
      <c r="K51" s="228"/>
      <c r="L51" s="228"/>
    </row>
    <row r="52" spans="1:12" ht="14.4" customHeight="1" x14ac:dyDescent="0.3">
      <c r="A52" s="227" t="s">
        <v>556</v>
      </c>
      <c r="B52" s="228"/>
      <c r="C52" s="228"/>
      <c r="D52" s="228"/>
      <c r="E52" s="228"/>
      <c r="F52" s="228"/>
      <c r="G52" s="228"/>
      <c r="H52" s="228"/>
      <c r="I52" s="228"/>
      <c r="J52" s="228"/>
      <c r="K52" s="228"/>
      <c r="L52" s="228"/>
    </row>
    <row r="53" spans="1:12" ht="14.4" customHeight="1" x14ac:dyDescent="0.3">
      <c r="A53" s="227" t="s">
        <v>470</v>
      </c>
      <c r="B53" s="228"/>
      <c r="C53" s="228"/>
      <c r="D53" s="228"/>
      <c r="E53" s="228"/>
      <c r="F53" s="228"/>
      <c r="G53" s="228"/>
      <c r="H53" s="228"/>
      <c r="I53" s="228"/>
      <c r="J53" s="228"/>
      <c r="K53" s="228"/>
      <c r="L53" s="228"/>
    </row>
    <row r="54" spans="1:12" x14ac:dyDescent="0.3">
      <c r="A54" s="227" t="s">
        <v>471</v>
      </c>
      <c r="B54" s="228"/>
      <c r="C54" s="228"/>
      <c r="D54" s="228"/>
      <c r="E54" s="228"/>
      <c r="F54" s="228"/>
      <c r="G54" s="228"/>
      <c r="H54" s="228"/>
      <c r="I54" s="228"/>
      <c r="J54" s="228"/>
      <c r="K54" s="228"/>
      <c r="L54" s="228"/>
    </row>
    <row r="55" spans="1:12" x14ac:dyDescent="0.3">
      <c r="A55" s="227" t="s">
        <v>472</v>
      </c>
      <c r="B55" s="228"/>
      <c r="C55" s="228"/>
      <c r="D55" s="228"/>
      <c r="E55" s="228"/>
      <c r="F55" s="228"/>
      <c r="G55" s="228"/>
      <c r="H55" s="228"/>
      <c r="I55" s="228"/>
      <c r="J55" s="228"/>
      <c r="K55" s="228"/>
      <c r="L55" s="228"/>
    </row>
    <row r="56" spans="1:12" ht="14.4" customHeight="1" x14ac:dyDescent="0.3">
      <c r="A56" s="227" t="s">
        <v>473</v>
      </c>
      <c r="B56" s="228"/>
      <c r="C56" s="228"/>
      <c r="D56" s="228"/>
      <c r="E56" s="228"/>
      <c r="F56" s="228"/>
      <c r="G56" s="228"/>
      <c r="H56" s="228"/>
      <c r="I56" s="228"/>
      <c r="J56" s="228"/>
      <c r="K56" s="228"/>
      <c r="L56" s="228"/>
    </row>
  </sheetData>
  <sheetProtection sheet="1" formatCells="0" formatColumns="0" formatRows="0" sort="0" autoFilter="0" pivotTables="0"/>
  <mergeCells count="36">
    <mergeCell ref="A1:L1"/>
    <mergeCell ref="G13:G14"/>
    <mergeCell ref="B5:L5"/>
    <mergeCell ref="A56:L56"/>
    <mergeCell ref="A51:L51"/>
    <mergeCell ref="A52:L52"/>
    <mergeCell ref="B6:L6"/>
    <mergeCell ref="A53:L53"/>
    <mergeCell ref="C10:L10"/>
    <mergeCell ref="A12:L12"/>
    <mergeCell ref="B2:L2"/>
    <mergeCell ref="K13:K14"/>
    <mergeCell ref="H13:H14"/>
    <mergeCell ref="J13:J14"/>
    <mergeCell ref="B3:L3"/>
    <mergeCell ref="L13:L14"/>
    <mergeCell ref="B4:L4"/>
    <mergeCell ref="C9:L9"/>
    <mergeCell ref="A13:A14"/>
    <mergeCell ref="D14:E14"/>
    <mergeCell ref="C13:C14"/>
    <mergeCell ref="I13:I14"/>
    <mergeCell ref="B13:B14"/>
    <mergeCell ref="F13:F14"/>
    <mergeCell ref="C8:L8"/>
    <mergeCell ref="A54:L54"/>
    <mergeCell ref="A55:L55"/>
    <mergeCell ref="B18:B20"/>
    <mergeCell ref="C18:C20"/>
    <mergeCell ref="C22:C24"/>
    <mergeCell ref="C26:C29"/>
    <mergeCell ref="B26:B29"/>
    <mergeCell ref="B22:B24"/>
    <mergeCell ref="B34:B37"/>
    <mergeCell ref="C34:C37"/>
    <mergeCell ref="A50:L50"/>
  </mergeCells>
  <phoneticPr fontId="29"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L53"/>
  <sheetViews>
    <sheetView zoomScale="90" zoomScaleNormal="90" workbookViewId="0">
      <pane ySplit="16" topLeftCell="A17" activePane="bottomLeft" state="frozen"/>
      <selection pane="bottomLeft" activeCell="A17" sqref="A17"/>
    </sheetView>
  </sheetViews>
  <sheetFormatPr defaultRowHeight="14.4" x14ac:dyDescent="0.3"/>
  <cols>
    <col min="1" max="1" width="40.77734375" style="1" customWidth="1"/>
    <col min="2" max="2" width="15.77734375" style="1" customWidth="1"/>
    <col min="3" max="4" width="30.77734375" style="1" customWidth="1"/>
    <col min="5" max="6" width="15.77734375" style="1" customWidth="1"/>
    <col min="7" max="7" width="30.77734375" style="1" customWidth="1"/>
    <col min="8" max="10" width="15.77734375" style="1" customWidth="1"/>
    <col min="11" max="11" width="30.77734375" style="1" customWidth="1"/>
    <col min="12" max="12" width="15.77734375" style="1" customWidth="1"/>
    <col min="13" max="16384" width="8.88671875" style="1"/>
  </cols>
  <sheetData>
    <row r="1" spans="1:12" ht="21" x14ac:dyDescent="0.4">
      <c r="A1" s="223" t="s">
        <v>560</v>
      </c>
      <c r="B1" s="223"/>
      <c r="C1" s="223"/>
      <c r="D1" s="223"/>
      <c r="E1" s="223"/>
      <c r="F1" s="223"/>
      <c r="G1" s="223"/>
      <c r="H1" s="223"/>
      <c r="I1" s="223"/>
      <c r="J1" s="223"/>
      <c r="K1" s="223"/>
      <c r="L1" s="223"/>
    </row>
    <row r="2" spans="1:12" ht="14.4" customHeight="1" x14ac:dyDescent="0.3">
      <c r="A2" s="58" t="s">
        <v>106</v>
      </c>
      <c r="B2" s="244" t="s">
        <v>557</v>
      </c>
      <c r="C2" s="245"/>
      <c r="D2" s="245"/>
      <c r="E2" s="245"/>
      <c r="F2" s="245"/>
      <c r="G2" s="245"/>
      <c r="H2" s="245"/>
      <c r="I2" s="245"/>
      <c r="J2" s="245"/>
      <c r="K2" s="245"/>
      <c r="L2" s="246"/>
    </row>
    <row r="3" spans="1:12" ht="14.4" customHeight="1" x14ac:dyDescent="0.3">
      <c r="A3" s="58" t="s">
        <v>107</v>
      </c>
      <c r="B3" s="244" t="s">
        <v>570</v>
      </c>
      <c r="C3" s="245"/>
      <c r="D3" s="245"/>
      <c r="E3" s="245"/>
      <c r="F3" s="245"/>
      <c r="G3" s="245"/>
      <c r="H3" s="245"/>
      <c r="I3" s="245"/>
      <c r="J3" s="245"/>
      <c r="K3" s="245"/>
      <c r="L3" s="246"/>
    </row>
    <row r="4" spans="1:12" ht="14.4" customHeight="1" x14ac:dyDescent="0.3">
      <c r="A4" s="58" t="s">
        <v>108</v>
      </c>
      <c r="B4" s="244" t="s">
        <v>569</v>
      </c>
      <c r="C4" s="245"/>
      <c r="D4" s="245"/>
      <c r="E4" s="245"/>
      <c r="F4" s="245"/>
      <c r="G4" s="245"/>
      <c r="H4" s="245"/>
      <c r="I4" s="245"/>
      <c r="J4" s="245"/>
      <c r="K4" s="245"/>
      <c r="L4" s="246"/>
    </row>
    <row r="5" spans="1:12" ht="14.4" customHeight="1" x14ac:dyDescent="0.3">
      <c r="A5" s="59" t="s">
        <v>109</v>
      </c>
      <c r="B5" s="244" t="s">
        <v>558</v>
      </c>
      <c r="C5" s="245"/>
      <c r="D5" s="245"/>
      <c r="E5" s="245"/>
      <c r="F5" s="245"/>
      <c r="G5" s="245"/>
      <c r="H5" s="245"/>
      <c r="I5" s="245"/>
      <c r="J5" s="245"/>
      <c r="K5" s="245"/>
      <c r="L5" s="246"/>
    </row>
    <row r="6" spans="1:12" ht="14.4" customHeight="1" x14ac:dyDescent="0.3">
      <c r="A6" s="60" t="s">
        <v>40</v>
      </c>
      <c r="B6" s="244" t="s">
        <v>559</v>
      </c>
      <c r="C6" s="245"/>
      <c r="D6" s="245"/>
      <c r="E6" s="245"/>
      <c r="F6" s="245"/>
      <c r="G6" s="245"/>
      <c r="H6" s="245"/>
      <c r="I6" s="245"/>
      <c r="J6" s="245"/>
      <c r="K6" s="245"/>
      <c r="L6" s="246"/>
    </row>
    <row r="8" spans="1:12" x14ac:dyDescent="0.3">
      <c r="A8" s="260" t="str">
        <f>IF('Project Data'!B7="e-SAF","Sheet not applicable — Product = e-SAF. Set Product = e-Methanol on Project Data to activate.","")</f>
        <v/>
      </c>
      <c r="B8" s="243"/>
      <c r="C8" s="243"/>
      <c r="D8" s="243"/>
      <c r="E8" s="243"/>
      <c r="F8" s="243"/>
      <c r="G8" s="243"/>
      <c r="H8" s="243"/>
      <c r="I8" s="243"/>
      <c r="J8" s="243"/>
      <c r="K8" s="243"/>
      <c r="L8" s="243"/>
    </row>
    <row r="10" spans="1:12" x14ac:dyDescent="0.3">
      <c r="A10" s="61" t="s">
        <v>554</v>
      </c>
      <c r="B10" s="62" t="str">
        <f>'Project Data'!B7</f>
        <v>e-Methanol</v>
      </c>
      <c r="C10" s="247" t="s">
        <v>555</v>
      </c>
      <c r="D10" s="225"/>
      <c r="E10" s="225"/>
      <c r="F10" s="225"/>
      <c r="G10" s="225"/>
      <c r="H10" s="225"/>
      <c r="I10" s="225"/>
      <c r="J10" s="225"/>
      <c r="K10" s="225"/>
      <c r="L10" s="248"/>
    </row>
    <row r="11" spans="1:12" x14ac:dyDescent="0.3">
      <c r="A11" s="61" t="s">
        <v>110</v>
      </c>
      <c r="B11" s="62">
        <f>IF('Project Data'!B7="e-Methanol",'Project Data'!B14*1000,0)</f>
        <v>600000000</v>
      </c>
      <c r="C11" s="247" t="s">
        <v>57</v>
      </c>
      <c r="D11" s="225"/>
      <c r="E11" s="225"/>
      <c r="F11" s="225"/>
      <c r="G11" s="225"/>
      <c r="H11" s="225"/>
      <c r="I11" s="225"/>
      <c r="J11" s="225"/>
      <c r="K11" s="225"/>
      <c r="L11" s="248"/>
    </row>
    <row r="12" spans="1:12" x14ac:dyDescent="0.3">
      <c r="A12" s="61" t="s">
        <v>112</v>
      </c>
      <c r="B12" s="62">
        <f>B11*'Emission Factors'!$B$87</f>
        <v>11940000000</v>
      </c>
      <c r="C12" s="247" t="s">
        <v>162</v>
      </c>
      <c r="D12" s="225"/>
      <c r="E12" s="225"/>
      <c r="F12" s="225"/>
      <c r="G12" s="225"/>
      <c r="H12" s="225"/>
      <c r="I12" s="225"/>
      <c r="J12" s="225"/>
      <c r="K12" s="225"/>
      <c r="L12" s="248"/>
    </row>
    <row r="14" spans="1:12" x14ac:dyDescent="0.3">
      <c r="A14" s="256" t="s">
        <v>114</v>
      </c>
      <c r="B14" s="225"/>
      <c r="C14" s="225"/>
      <c r="D14" s="225"/>
      <c r="E14" s="225"/>
      <c r="F14" s="225"/>
      <c r="G14" s="225"/>
      <c r="H14" s="225"/>
      <c r="I14" s="225"/>
      <c r="J14" s="225"/>
      <c r="K14" s="225"/>
      <c r="L14" s="248"/>
    </row>
    <row r="15" spans="1:12" ht="14.4" customHeight="1" x14ac:dyDescent="0.3">
      <c r="A15" s="249" t="s">
        <v>115</v>
      </c>
      <c r="B15" s="249" t="s">
        <v>116</v>
      </c>
      <c r="C15" s="249" t="s">
        <v>117</v>
      </c>
      <c r="D15" s="2" t="s">
        <v>118</v>
      </c>
      <c r="E15" s="2" t="s">
        <v>119</v>
      </c>
      <c r="F15" s="249" t="s">
        <v>120</v>
      </c>
      <c r="G15" s="251" t="s">
        <v>121</v>
      </c>
      <c r="H15" s="249" t="s">
        <v>122</v>
      </c>
      <c r="I15" s="249" t="s">
        <v>123</v>
      </c>
      <c r="J15" s="251" t="s">
        <v>124</v>
      </c>
      <c r="K15" s="249" t="s">
        <v>26</v>
      </c>
      <c r="L15" s="249" t="s">
        <v>125</v>
      </c>
    </row>
    <row r="16" spans="1:12" ht="14.4" customHeight="1" x14ac:dyDescent="0.3">
      <c r="A16" s="250"/>
      <c r="B16" s="250"/>
      <c r="C16" s="250"/>
      <c r="D16" s="249" t="s">
        <v>562</v>
      </c>
      <c r="E16" s="248"/>
      <c r="F16" s="250"/>
      <c r="G16" s="250"/>
      <c r="H16" s="250"/>
      <c r="I16" s="250"/>
      <c r="J16" s="250"/>
      <c r="K16" s="250"/>
      <c r="L16" s="250"/>
    </row>
    <row r="17" spans="1:12" ht="26.4" x14ac:dyDescent="0.3">
      <c r="A17" s="80" t="s">
        <v>566</v>
      </c>
      <c r="B17" s="115" t="s">
        <v>483</v>
      </c>
      <c r="C17" s="3" t="s">
        <v>482</v>
      </c>
      <c r="D17" s="64" t="s">
        <v>483</v>
      </c>
      <c r="E17" s="65">
        <f>'Project Data'!B19</f>
        <v>0.16</v>
      </c>
      <c r="F17" s="39" t="s">
        <v>59</v>
      </c>
      <c r="G17" s="65">
        <f>'Project Data'!B20</f>
        <v>0</v>
      </c>
      <c r="H17" s="66"/>
      <c r="I17" s="65">
        <f>IF(H17&lt;&gt;"",H17,IF(ISNUMBER(G17),G17,0))</f>
        <v>0</v>
      </c>
      <c r="J17" s="39" t="s">
        <v>61</v>
      </c>
      <c r="K17" s="67"/>
      <c r="L17" s="68">
        <f>IF($B$12&gt;0,E17*I17*$B$11/$B$12,0)</f>
        <v>0</v>
      </c>
    </row>
    <row r="18" spans="1:12" ht="26.4" x14ac:dyDescent="0.3">
      <c r="A18" s="80" t="s">
        <v>567</v>
      </c>
      <c r="B18" s="115" t="s">
        <v>483</v>
      </c>
      <c r="C18" s="3" t="s">
        <v>485</v>
      </c>
      <c r="D18" s="64" t="s">
        <v>483</v>
      </c>
      <c r="E18" s="69">
        <f>'Project Data'!B23</f>
        <v>1.1499999999999999</v>
      </c>
      <c r="F18" s="39" t="s">
        <v>446</v>
      </c>
      <c r="G18" s="70">
        <f>'Project Data'!B25</f>
        <v>0</v>
      </c>
      <c r="H18" s="66"/>
      <c r="I18" s="65">
        <f>IF(ISNUMBER(H18),H18,IF(ISNUMBER(G18),G18,0))</f>
        <v>0</v>
      </c>
      <c r="J18" s="39" t="s">
        <v>445</v>
      </c>
      <c r="K18" s="67"/>
      <c r="L18" s="68">
        <f t="shared" ref="L18:L19" si="0">IF($B$12&gt;0,E18*I18*$B$11/$B$12,0)</f>
        <v>0</v>
      </c>
    </row>
    <row r="19" spans="1:12" ht="26.4" x14ac:dyDescent="0.3">
      <c r="A19" s="80" t="s">
        <v>568</v>
      </c>
      <c r="B19" s="116" t="s">
        <v>483</v>
      </c>
      <c r="C19" s="3" t="s">
        <v>484</v>
      </c>
      <c r="D19" s="64" t="s">
        <v>483</v>
      </c>
      <c r="E19" s="69">
        <f>'Project Data'!B28</f>
        <v>0</v>
      </c>
      <c r="F19" s="39" t="s">
        <v>442</v>
      </c>
      <c r="G19" s="70">
        <f>'Project Data'!B29</f>
        <v>0</v>
      </c>
      <c r="H19" s="66"/>
      <c r="I19" s="65">
        <f>IF(ISNUMBER(H19),H19,IF(ISNUMBER(G19),G19,0))</f>
        <v>0</v>
      </c>
      <c r="J19" s="39" t="s">
        <v>133</v>
      </c>
      <c r="K19" s="67"/>
      <c r="L19" s="68">
        <f t="shared" si="0"/>
        <v>0</v>
      </c>
    </row>
    <row r="20" spans="1:12" ht="14.4" customHeight="1" x14ac:dyDescent="0.3">
      <c r="A20" s="80" t="s">
        <v>571</v>
      </c>
      <c r="B20" s="257" t="s">
        <v>572</v>
      </c>
      <c r="C20" s="229" t="s">
        <v>573</v>
      </c>
      <c r="D20" s="71" t="str">
        <f>'Project Data'!A32</f>
        <v>Grid Electricity Consumption</v>
      </c>
      <c r="E20" s="65">
        <f>'Project Data'!B32*1000</f>
        <v>350000000</v>
      </c>
      <c r="F20" s="39" t="s">
        <v>126</v>
      </c>
      <c r="G20" s="65" t="s">
        <v>127</v>
      </c>
      <c r="H20" s="66">
        <v>608</v>
      </c>
      <c r="I20" s="65">
        <f t="shared" ref="I20:I22" si="1">IF(H20&lt;&gt;"",H20,IF(ISNUMBER(G20),G20,0))</f>
        <v>608</v>
      </c>
      <c r="J20" s="39" t="s">
        <v>128</v>
      </c>
      <c r="K20" s="67"/>
      <c r="L20" s="68">
        <f>IF($B$12&gt;0,E20*I20/$B$12,0)</f>
        <v>17.822445561139027</v>
      </c>
    </row>
    <row r="21" spans="1:12" x14ac:dyDescent="0.3">
      <c r="A21" s="80" t="s">
        <v>571</v>
      </c>
      <c r="B21" s="258"/>
      <c r="C21" s="231"/>
      <c r="D21" s="71" t="str">
        <f>'Project Data'!A33</f>
        <v>Renewable Electricity Consumption</v>
      </c>
      <c r="E21" s="65">
        <f>'Project Data'!B33*1000</f>
        <v>5650000000</v>
      </c>
      <c r="F21" s="39" t="s">
        <v>126</v>
      </c>
      <c r="G21" s="72">
        <v>0</v>
      </c>
      <c r="H21" s="66"/>
      <c r="I21" s="65">
        <f t="shared" si="1"/>
        <v>0</v>
      </c>
      <c r="J21" s="39" t="s">
        <v>128</v>
      </c>
      <c r="K21" s="67"/>
      <c r="L21" s="68">
        <f>IF($B$12&gt;0,E21*I21/$B$12,0)</f>
        <v>0</v>
      </c>
    </row>
    <row r="22" spans="1:12" x14ac:dyDescent="0.3">
      <c r="A22" s="80" t="s">
        <v>571</v>
      </c>
      <c r="B22" s="258"/>
      <c r="C22" s="231"/>
      <c r="D22" s="71" t="str">
        <f>'Project Data'!A34</f>
        <v>Other Electricity Consumption</v>
      </c>
      <c r="E22" s="65">
        <f>'Project Data'!B34*1000</f>
        <v>0</v>
      </c>
      <c r="F22" s="39" t="s">
        <v>126</v>
      </c>
      <c r="G22" s="65" t="s">
        <v>127</v>
      </c>
      <c r="H22" s="66"/>
      <c r="I22" s="65">
        <f t="shared" si="1"/>
        <v>0</v>
      </c>
      <c r="J22" s="39" t="s">
        <v>128</v>
      </c>
      <c r="K22" s="67"/>
      <c r="L22" s="68">
        <f>IF($B$12&gt;0,E22*I22/$B$12,0)</f>
        <v>0</v>
      </c>
    </row>
    <row r="23" spans="1:12" ht="39.6" x14ac:dyDescent="0.3">
      <c r="A23" s="80" t="s">
        <v>163</v>
      </c>
      <c r="B23" s="233"/>
      <c r="C23" s="117" t="s">
        <v>488</v>
      </c>
      <c r="D23" s="71" t="str">
        <f>'Project Data'!B39</f>
        <v>Deionized water</v>
      </c>
      <c r="E23" s="73">
        <f>IF('Project Data'!B7="e-Methanol",'Project Data'!B38,0)</f>
        <v>1100000</v>
      </c>
      <c r="F23" s="39" t="s">
        <v>72</v>
      </c>
      <c r="G23" s="73">
        <f>IFERROR(VLOOKUP(D23,'Emission Factors'!$A$27:$B$31,2,FALSE),0)</f>
        <v>0.5</v>
      </c>
      <c r="H23" s="74"/>
      <c r="I23" s="73">
        <f t="shared" ref="I23:I35" si="2">IF(H23&lt;&gt;"",H23,IF(ISNUMBER(G23),G23,0))</f>
        <v>0.5</v>
      </c>
      <c r="J23" s="39" t="s">
        <v>130</v>
      </c>
      <c r="K23" s="67"/>
      <c r="L23" s="75">
        <f>IF($B$12&gt;0,E23*I23*1000/$B$12,0)</f>
        <v>4.6063651591289785E-2</v>
      </c>
    </row>
    <row r="24" spans="1:12" x14ac:dyDescent="0.3">
      <c r="A24" s="80" t="s">
        <v>164</v>
      </c>
      <c r="B24" s="233"/>
      <c r="C24" s="232" t="s">
        <v>489</v>
      </c>
      <c r="D24" s="71" t="str">
        <f>'Project Data'!B46</f>
        <v>Diesel</v>
      </c>
      <c r="E24" s="73">
        <f>IF('Project Data'!B7="e-Methanol",'Project Data'!B47,0)</f>
        <v>20000</v>
      </c>
      <c r="F24" s="39" t="s">
        <v>77</v>
      </c>
      <c r="G24" s="73">
        <f>IFERROR(VLOOKUP(D24,'Emission Factors'!$A$15:$E$22,5,FALSE),0)</f>
        <v>95.1</v>
      </c>
      <c r="H24" s="74"/>
      <c r="I24" s="73">
        <f t="shared" si="2"/>
        <v>95.1</v>
      </c>
      <c r="J24" s="39" t="s">
        <v>131</v>
      </c>
      <c r="K24" s="67"/>
      <c r="L24" s="75">
        <f>IF($B$12&gt;0,E24*I24/$B$12,0)</f>
        <v>1.5929648241206029E-4</v>
      </c>
    </row>
    <row r="25" spans="1:12" x14ac:dyDescent="0.3">
      <c r="A25" s="80" t="s">
        <v>164</v>
      </c>
      <c r="B25" s="233"/>
      <c r="C25" s="233"/>
      <c r="D25" s="71" t="str">
        <f>'Project Data'!B48</f>
        <v>Please select</v>
      </c>
      <c r="E25" s="73">
        <f>IF('Project Data'!B7="e-Methanol",'Project Data'!B49,0)</f>
        <v>0</v>
      </c>
      <c r="F25" s="39" t="s">
        <v>77</v>
      </c>
      <c r="G25" s="73">
        <f>IFERROR(VLOOKUP(D25,'Emission Factors'!$A$15:$E$22,5,FALSE),0)</f>
        <v>0</v>
      </c>
      <c r="H25" s="74"/>
      <c r="I25" s="73">
        <f t="shared" si="2"/>
        <v>0</v>
      </c>
      <c r="J25" s="39" t="s">
        <v>131</v>
      </c>
      <c r="K25" s="67"/>
      <c r="L25" s="75">
        <f>IF($B$12&gt;0,E25*I25/$B$12,0)</f>
        <v>0</v>
      </c>
    </row>
    <row r="26" spans="1:12" x14ac:dyDescent="0.3">
      <c r="A26" s="80" t="s">
        <v>164</v>
      </c>
      <c r="B26" s="234"/>
      <c r="C26" s="234"/>
      <c r="D26" s="71" t="str">
        <f>'Project Data'!B50</f>
        <v>Please select</v>
      </c>
      <c r="E26" s="73">
        <f>IF('Project Data'!B7="e-Methanol",'Project Data'!B51,0)</f>
        <v>0</v>
      </c>
      <c r="F26" s="39" t="s">
        <v>77</v>
      </c>
      <c r="G26" s="73">
        <f>IFERROR(VLOOKUP(D26,'Emission Factors'!$A$15:$E$22,5,FALSE),0)</f>
        <v>0</v>
      </c>
      <c r="H26" s="74"/>
      <c r="I26" s="73">
        <f t="shared" si="2"/>
        <v>0</v>
      </c>
      <c r="J26" s="39" t="s">
        <v>131</v>
      </c>
      <c r="K26" s="67"/>
      <c r="L26" s="75">
        <f>IF($B$12&gt;0,E26*I26/$B$12,0)</f>
        <v>0</v>
      </c>
    </row>
    <row r="27" spans="1:12" x14ac:dyDescent="0.3">
      <c r="A27" s="80" t="s">
        <v>165</v>
      </c>
      <c r="B27" s="118" t="s">
        <v>483</v>
      </c>
      <c r="C27" s="7" t="s">
        <v>490</v>
      </c>
      <c r="D27" s="71" t="str">
        <f>'Project Data'!B43</f>
        <v>Please select</v>
      </c>
      <c r="E27" s="73">
        <f>IF('Project Data'!B7="e-Methanol",'Project Data'!B42,0)</f>
        <v>0</v>
      </c>
      <c r="F27" s="39" t="s">
        <v>77</v>
      </c>
      <c r="G27" s="73">
        <f>IFERROR(VLOOKUP(D27,'Emission Factors'!$A$61:$B$66,2,FALSE),0)</f>
        <v>0</v>
      </c>
      <c r="H27" s="74"/>
      <c r="I27" s="73">
        <f t="shared" si="2"/>
        <v>0</v>
      </c>
      <c r="J27" s="39" t="s">
        <v>132</v>
      </c>
      <c r="K27" s="67"/>
      <c r="L27" s="75">
        <f>IF($B$12&gt;0,E27*I27*1000/$B$12,0)</f>
        <v>0</v>
      </c>
    </row>
    <row r="28" spans="1:12" x14ac:dyDescent="0.3">
      <c r="A28" s="80" t="s">
        <v>166</v>
      </c>
      <c r="B28" s="229" t="s">
        <v>572</v>
      </c>
      <c r="C28" s="229" t="s">
        <v>491</v>
      </c>
      <c r="D28" s="71" t="str">
        <f>'Project Data'!B54</f>
        <v>Potassium hydroxide (KOH)</v>
      </c>
      <c r="E28" s="73">
        <f>IF('Project Data'!B7="e-Methanol",'Project Data'!B55,0)</f>
        <v>200000</v>
      </c>
      <c r="F28" s="39" t="s">
        <v>89</v>
      </c>
      <c r="G28" s="73">
        <f>IFERROR(VLOOKUP(D28,'Emission Factors'!$A$39:$B$57,2,FALSE),0)</f>
        <v>419.1</v>
      </c>
      <c r="H28" s="74"/>
      <c r="I28" s="73">
        <f t="shared" si="2"/>
        <v>419.1</v>
      </c>
      <c r="J28" s="39" t="s">
        <v>133</v>
      </c>
      <c r="K28" s="67"/>
      <c r="L28" s="75">
        <f>IF($B$12&gt;0,E28*I28/$B$12,0)</f>
        <v>7.0201005025125624E-3</v>
      </c>
    </row>
    <row r="29" spans="1:12" x14ac:dyDescent="0.3">
      <c r="A29" s="80" t="s">
        <v>166</v>
      </c>
      <c r="B29" s="259"/>
      <c r="C29" s="259"/>
      <c r="D29" s="71" t="str">
        <f>'Project Data'!B56</f>
        <v>Please select</v>
      </c>
      <c r="E29" s="73">
        <f>IF('Project Data'!B7="e-Methanol",'Project Data'!B57,0)</f>
        <v>0</v>
      </c>
      <c r="F29" s="39" t="s">
        <v>89</v>
      </c>
      <c r="G29" s="73">
        <f>IFERROR(VLOOKUP(D29,'Emission Factors'!$A$39:$B$57,2,FALSE),0)</f>
        <v>0</v>
      </c>
      <c r="H29" s="74"/>
      <c r="I29" s="73">
        <f t="shared" si="2"/>
        <v>0</v>
      </c>
      <c r="J29" s="39" t="s">
        <v>133</v>
      </c>
      <c r="K29" s="67"/>
      <c r="L29" s="75">
        <f>IF($B$12&gt;0,E29*I29/$B$12,0)</f>
        <v>0</v>
      </c>
    </row>
    <row r="30" spans="1:12" x14ac:dyDescent="0.3">
      <c r="A30" s="80" t="s">
        <v>166</v>
      </c>
      <c r="B30" s="259"/>
      <c r="C30" s="259"/>
      <c r="D30" s="71" t="str">
        <f>'Project Data'!B58</f>
        <v>Please select</v>
      </c>
      <c r="E30" s="73">
        <f>IF('Project Data'!B7="e-Methanol",'Project Data'!B59,0)</f>
        <v>0</v>
      </c>
      <c r="F30" s="39" t="s">
        <v>89</v>
      </c>
      <c r="G30" s="73">
        <f>IFERROR(VLOOKUP(D30,'Emission Factors'!$A$39:$B$57,2,FALSE),0)</f>
        <v>0</v>
      </c>
      <c r="H30" s="74"/>
      <c r="I30" s="73">
        <f t="shared" si="2"/>
        <v>0</v>
      </c>
      <c r="J30" s="39" t="s">
        <v>133</v>
      </c>
      <c r="K30" s="67"/>
      <c r="L30" s="75">
        <f>IF($B$12&gt;0,E30*I30/$B$12,0)</f>
        <v>0</v>
      </c>
    </row>
    <row r="31" spans="1:12" x14ac:dyDescent="0.3">
      <c r="A31" s="80" t="s">
        <v>166</v>
      </c>
      <c r="B31" s="259"/>
      <c r="C31" s="250"/>
      <c r="D31" s="71" t="str">
        <f>'Project Data'!B60</f>
        <v>Please select</v>
      </c>
      <c r="E31" s="73">
        <f>IF('Project Data'!B7="e-Methanol",'Project Data'!B61,0)</f>
        <v>0</v>
      </c>
      <c r="F31" s="39" t="s">
        <v>89</v>
      </c>
      <c r="G31" s="73">
        <f>IFERROR(VLOOKUP(D31,'Emission Factors'!$A$39:$B$57,2,FALSE),0)</f>
        <v>0</v>
      </c>
      <c r="H31" s="74"/>
      <c r="I31" s="73">
        <f t="shared" si="2"/>
        <v>0</v>
      </c>
      <c r="J31" s="39" t="s">
        <v>133</v>
      </c>
      <c r="K31" s="67"/>
      <c r="L31" s="75">
        <f>IF($B$12&gt;0,E31*I31/$B$12,0)</f>
        <v>0</v>
      </c>
    </row>
    <row r="32" spans="1:12" x14ac:dyDescent="0.3">
      <c r="A32" s="80" t="s">
        <v>167</v>
      </c>
      <c r="B32" s="259"/>
      <c r="C32" s="229" t="s">
        <v>499</v>
      </c>
      <c r="D32" s="71" t="str">
        <f>'Project Data'!B64</f>
        <v>Please select</v>
      </c>
      <c r="E32" s="73">
        <f>IF('Project Data'!B7="e-Methanol",'Project Data'!B65,0)</f>
        <v>0</v>
      </c>
      <c r="F32" s="39" t="s">
        <v>89</v>
      </c>
      <c r="G32" s="73">
        <f>IFERROR(VLOOKUP(D32,'Emission Factors'!$A$71:$B$73,2,FALSE),0)</f>
        <v>0</v>
      </c>
      <c r="H32" s="55"/>
      <c r="I32" s="91">
        <f t="shared" si="2"/>
        <v>0</v>
      </c>
      <c r="J32" s="39" t="s">
        <v>138</v>
      </c>
      <c r="K32" s="83"/>
      <c r="L32" s="75">
        <f>IF($B$12&gt;0,E32*I32*1000/$B$12,0)</f>
        <v>0</v>
      </c>
    </row>
    <row r="33" spans="1:12" x14ac:dyDescent="0.3">
      <c r="A33" s="80" t="s">
        <v>167</v>
      </c>
      <c r="B33" s="259"/>
      <c r="C33" s="259"/>
      <c r="D33" s="71" t="str">
        <f>'Project Data'!B66</f>
        <v>Please select</v>
      </c>
      <c r="E33" s="73">
        <f>IF('Project Data'!B7="e-Methanol",'Project Data'!B67,0)</f>
        <v>0</v>
      </c>
      <c r="F33" s="39" t="s">
        <v>89</v>
      </c>
      <c r="G33" s="73">
        <f>IFERROR(VLOOKUP(D33,'Emission Factors'!$A$71:$B$73,2,FALSE),0)</f>
        <v>0</v>
      </c>
      <c r="H33" s="55"/>
      <c r="I33" s="91">
        <f t="shared" si="2"/>
        <v>0</v>
      </c>
      <c r="J33" s="39" t="s">
        <v>138</v>
      </c>
      <c r="K33" s="83"/>
      <c r="L33" s="75">
        <f>IF($B$12&gt;0,E33*I33*1000/$B$12,0)</f>
        <v>0</v>
      </c>
    </row>
    <row r="34" spans="1:12" x14ac:dyDescent="0.3">
      <c r="A34" s="80" t="s">
        <v>167</v>
      </c>
      <c r="B34" s="259"/>
      <c r="C34" s="259"/>
      <c r="D34" s="71" t="str">
        <f>'Project Data'!B68</f>
        <v>Please select</v>
      </c>
      <c r="E34" s="73">
        <f>IF('Project Data'!B7="e-Methanol",'Project Data'!B69,0)</f>
        <v>0</v>
      </c>
      <c r="F34" s="39" t="s">
        <v>89</v>
      </c>
      <c r="G34" s="73">
        <f>IFERROR(VLOOKUP(D34,'Emission Factors'!$A$71:$B$73,2,FALSE),0)</f>
        <v>0</v>
      </c>
      <c r="H34" s="55"/>
      <c r="I34" s="91">
        <f t="shared" si="2"/>
        <v>0</v>
      </c>
      <c r="J34" s="39" t="s">
        <v>138</v>
      </c>
      <c r="K34" s="83"/>
      <c r="L34" s="75">
        <f>IF($B$12&gt;0,E34*I34*1000/$B$12,0)</f>
        <v>0</v>
      </c>
    </row>
    <row r="35" spans="1:12" x14ac:dyDescent="0.3">
      <c r="A35" s="80" t="s">
        <v>167</v>
      </c>
      <c r="B35" s="259"/>
      <c r="C35" s="250"/>
      <c r="D35" s="71" t="str">
        <f>'Project Data'!B70</f>
        <v>Please select</v>
      </c>
      <c r="E35" s="73">
        <f>IF('Project Data'!B7="e-Methanol",'Project Data'!B71,0)</f>
        <v>0</v>
      </c>
      <c r="F35" s="39" t="s">
        <v>89</v>
      </c>
      <c r="G35" s="73">
        <f>IFERROR(VLOOKUP(D35,'Emission Factors'!$A$71:$B$73,2,FALSE),0)</f>
        <v>0</v>
      </c>
      <c r="H35" s="55"/>
      <c r="I35" s="91">
        <f t="shared" si="2"/>
        <v>0</v>
      </c>
      <c r="J35" s="39" t="s">
        <v>138</v>
      </c>
      <c r="K35" s="83"/>
      <c r="L35" s="75">
        <f>IF($B$12&gt;0,E35*I35*1000/$B$12,0)</f>
        <v>0</v>
      </c>
    </row>
    <row r="36" spans="1:12" ht="52.8" x14ac:dyDescent="0.3">
      <c r="A36" s="119" t="s">
        <v>576</v>
      </c>
      <c r="B36" s="259"/>
      <c r="C36" s="3" t="s">
        <v>574</v>
      </c>
      <c r="D36" s="120"/>
      <c r="E36" s="121"/>
      <c r="F36" s="122" t="s">
        <v>147</v>
      </c>
      <c r="G36" s="3" t="s">
        <v>30</v>
      </c>
      <c r="H36" s="3" t="s">
        <v>30</v>
      </c>
      <c r="I36" s="3" t="s">
        <v>30</v>
      </c>
      <c r="J36" s="3" t="s">
        <v>30</v>
      </c>
      <c r="K36" s="67"/>
      <c r="L36" s="123">
        <f>IF(B$12&gt;0,E36*1000/$B$12,0)</f>
        <v>0</v>
      </c>
    </row>
    <row r="37" spans="1:12" ht="26.4" x14ac:dyDescent="0.3">
      <c r="A37" s="23" t="s">
        <v>577</v>
      </c>
      <c r="B37" s="259"/>
      <c r="C37" s="3" t="s">
        <v>582</v>
      </c>
      <c r="D37" s="3" t="s">
        <v>30</v>
      </c>
      <c r="E37" s="124"/>
      <c r="F37" s="122" t="s">
        <v>581</v>
      </c>
      <c r="G37" s="3" t="s">
        <v>30</v>
      </c>
      <c r="H37" s="3" t="s">
        <v>30</v>
      </c>
      <c r="I37" s="3" t="s">
        <v>30</v>
      </c>
      <c r="J37" s="3" t="s">
        <v>30</v>
      </c>
      <c r="K37" s="67"/>
      <c r="L37" s="123">
        <f>IF(ISNUMBER(E37),E37,0)</f>
        <v>0</v>
      </c>
    </row>
    <row r="38" spans="1:12" x14ac:dyDescent="0.3">
      <c r="A38" s="23" t="s">
        <v>578</v>
      </c>
      <c r="B38" s="250"/>
      <c r="C38" s="3" t="s">
        <v>575</v>
      </c>
      <c r="D38" s="120"/>
      <c r="E38" s="121"/>
      <c r="F38" s="122" t="s">
        <v>147</v>
      </c>
      <c r="G38" s="3" t="s">
        <v>30</v>
      </c>
      <c r="H38" s="3" t="s">
        <v>30</v>
      </c>
      <c r="I38" s="3" t="s">
        <v>30</v>
      </c>
      <c r="J38" s="3" t="s">
        <v>30</v>
      </c>
      <c r="K38" s="67"/>
      <c r="L38" s="123">
        <f>IF(B$12&gt;0,E38*1000/$B$12,0)</f>
        <v>0</v>
      </c>
    </row>
    <row r="39" spans="1:12" x14ac:dyDescent="0.3">
      <c r="A39" s="76" t="s">
        <v>583</v>
      </c>
      <c r="B39" s="77"/>
      <c r="C39" s="78"/>
      <c r="D39" s="78"/>
      <c r="E39" s="78"/>
      <c r="F39" s="78"/>
      <c r="G39" s="78"/>
      <c r="H39" s="78"/>
      <c r="I39" s="78"/>
      <c r="J39" s="78"/>
      <c r="K39" s="78" t="s">
        <v>131</v>
      </c>
      <c r="L39" s="79">
        <f>SUM(L17:L37)-L38</f>
        <v>17.87568860971524</v>
      </c>
    </row>
    <row r="40" spans="1:12" ht="28.8" x14ac:dyDescent="0.3">
      <c r="A40" s="5" t="s">
        <v>579</v>
      </c>
      <c r="B40" s="230" t="s">
        <v>169</v>
      </c>
      <c r="C40" s="8" t="s">
        <v>500</v>
      </c>
      <c r="D40" s="3" t="s">
        <v>30</v>
      </c>
      <c r="E40" s="3" t="s">
        <v>30</v>
      </c>
      <c r="F40" s="3" t="s">
        <v>30</v>
      </c>
      <c r="G40" s="3" t="s">
        <v>30</v>
      </c>
      <c r="H40" s="55"/>
      <c r="I40" s="91">
        <f t="shared" ref="I40:I42" si="3">IF(H40&lt;&gt;"",H40,IF(ISNUMBER(G40),G40,0))</f>
        <v>0</v>
      </c>
      <c r="J40" s="39" t="s">
        <v>546</v>
      </c>
      <c r="K40" s="83"/>
      <c r="L40" s="93">
        <f>I40</f>
        <v>0</v>
      </c>
    </row>
    <row r="41" spans="1:12" x14ac:dyDescent="0.3">
      <c r="A41" s="5" t="s">
        <v>580</v>
      </c>
      <c r="B41" s="230"/>
      <c r="C41" s="8" t="s">
        <v>501</v>
      </c>
      <c r="D41" s="3" t="s">
        <v>30</v>
      </c>
      <c r="E41" s="3" t="s">
        <v>30</v>
      </c>
      <c r="F41" s="3" t="s">
        <v>30</v>
      </c>
      <c r="G41" s="65" t="s">
        <v>127</v>
      </c>
      <c r="H41" s="66">
        <v>3.0000000000000001E-3</v>
      </c>
      <c r="I41" s="65">
        <f t="shared" si="3"/>
        <v>3.0000000000000001E-3</v>
      </c>
      <c r="J41" s="39" t="s">
        <v>547</v>
      </c>
      <c r="K41" s="83"/>
      <c r="L41" s="93">
        <f>IF('Project Data'!$B$14&lt;&gt;"",I41*'Emission Factors'!B72,0)</f>
        <v>8.4000000000000005E-2</v>
      </c>
    </row>
    <row r="42" spans="1:12" x14ac:dyDescent="0.3">
      <c r="A42" s="5" t="s">
        <v>170</v>
      </c>
      <c r="B42" s="230"/>
      <c r="C42" s="8" t="s">
        <v>502</v>
      </c>
      <c r="D42" s="3" t="s">
        <v>30</v>
      </c>
      <c r="E42" s="3" t="s">
        <v>30</v>
      </c>
      <c r="F42" s="3" t="s">
        <v>30</v>
      </c>
      <c r="G42" s="65" t="s">
        <v>127</v>
      </c>
      <c r="H42" s="66">
        <v>5.9999999999999995E-4</v>
      </c>
      <c r="I42" s="65">
        <f t="shared" si="3"/>
        <v>5.9999999999999995E-4</v>
      </c>
      <c r="J42" s="39" t="s">
        <v>548</v>
      </c>
      <c r="K42" s="83"/>
      <c r="L42" s="93">
        <f>IF('Project Data'!$B$14&lt;&gt;"",I42*'Emission Factors'!B73,0)</f>
        <v>0.15899999999999997</v>
      </c>
    </row>
    <row r="43" spans="1:12" x14ac:dyDescent="0.3">
      <c r="A43" s="76" t="s">
        <v>584</v>
      </c>
      <c r="B43" s="77"/>
      <c r="C43" s="78"/>
      <c r="D43" s="78"/>
      <c r="E43" s="78"/>
      <c r="F43" s="78"/>
      <c r="G43" s="78"/>
      <c r="H43" s="78"/>
      <c r="I43" s="78"/>
      <c r="J43" s="78"/>
      <c r="K43" s="78" t="s">
        <v>131</v>
      </c>
      <c r="L43" s="79">
        <f>L40+L41+L42</f>
        <v>0.24299999999999999</v>
      </c>
    </row>
    <row r="44" spans="1:12" ht="39.6" x14ac:dyDescent="0.3">
      <c r="A44" s="94" t="s">
        <v>610</v>
      </c>
      <c r="B44" s="95"/>
      <c r="C44" s="96" t="s">
        <v>612</v>
      </c>
      <c r="D44" s="96"/>
      <c r="E44" s="97"/>
      <c r="F44" s="97"/>
      <c r="G44" s="98"/>
      <c r="H44" s="97"/>
      <c r="I44" s="97"/>
      <c r="J44" s="98"/>
      <c r="K44" s="99" t="s">
        <v>369</v>
      </c>
      <c r="L44" s="100">
        <v>1</v>
      </c>
    </row>
    <row r="45" spans="1:12" ht="15.6" x14ac:dyDescent="0.3">
      <c r="A45" s="125" t="s">
        <v>585</v>
      </c>
      <c r="B45" s="126"/>
      <c r="C45" s="126"/>
      <c r="D45" s="127"/>
      <c r="E45" s="127"/>
      <c r="F45" s="126"/>
      <c r="G45" s="126"/>
      <c r="H45" s="128"/>
      <c r="I45" s="128"/>
      <c r="J45" s="128"/>
      <c r="K45" s="99" t="s">
        <v>131</v>
      </c>
      <c r="L45" s="101">
        <f>L44*(L39+L43)</f>
        <v>18.118688609715239</v>
      </c>
    </row>
    <row r="46" spans="1:12" ht="15.6" x14ac:dyDescent="0.3">
      <c r="A46" s="129" t="s">
        <v>586</v>
      </c>
      <c r="B46" s="128"/>
      <c r="C46" s="128"/>
      <c r="D46" s="130"/>
      <c r="E46" s="130"/>
      <c r="F46" s="128"/>
      <c r="G46" s="128"/>
      <c r="H46" s="128"/>
      <c r="I46" s="128"/>
      <c r="J46" s="128"/>
      <c r="K46" s="99" t="s">
        <v>587</v>
      </c>
      <c r="L46" s="101">
        <f>L45*'Emission Factors'!B87/1000</f>
        <v>0.36056190333333327</v>
      </c>
    </row>
    <row r="47" spans="1:12" ht="28.8" x14ac:dyDescent="0.3">
      <c r="A47" s="23" t="s">
        <v>150</v>
      </c>
      <c r="B47" s="8" t="s">
        <v>173</v>
      </c>
      <c r="C47" s="8" t="s">
        <v>593</v>
      </c>
      <c r="D47" s="3" t="s">
        <v>30</v>
      </c>
      <c r="E47" s="3" t="s">
        <v>30</v>
      </c>
      <c r="F47" s="3" t="s">
        <v>30</v>
      </c>
      <c r="G47" s="3" t="s">
        <v>30</v>
      </c>
      <c r="H47" s="131" t="s">
        <v>30</v>
      </c>
      <c r="I47" s="6" t="s">
        <v>30</v>
      </c>
      <c r="J47" s="6" t="s">
        <v>30</v>
      </c>
      <c r="K47" s="132" t="s">
        <v>131</v>
      </c>
      <c r="L47" s="133">
        <f>93.3</f>
        <v>93.3</v>
      </c>
    </row>
    <row r="48" spans="1:12" ht="15.6" x14ac:dyDescent="0.3">
      <c r="A48" s="134" t="s">
        <v>174</v>
      </c>
      <c r="B48" s="135"/>
      <c r="C48" s="135"/>
      <c r="D48" s="136"/>
      <c r="E48" s="136"/>
      <c r="F48" s="135"/>
      <c r="G48" s="135"/>
      <c r="H48" s="128"/>
      <c r="I48" s="128"/>
      <c r="J48" s="128"/>
      <c r="K48" s="137"/>
      <c r="L48" s="138">
        <f>IF(L47&gt;0,(L47-L45)/L47,0)</f>
        <v>0.80580183698054408</v>
      </c>
    </row>
    <row r="50" spans="1:12" x14ac:dyDescent="0.3">
      <c r="A50" s="242" t="s">
        <v>175</v>
      </c>
      <c r="B50" s="243"/>
      <c r="C50" s="243"/>
      <c r="D50" s="243"/>
      <c r="E50" s="243"/>
      <c r="F50" s="243"/>
      <c r="G50" s="243"/>
      <c r="H50" s="243"/>
      <c r="I50" s="243"/>
      <c r="J50" s="243"/>
      <c r="K50" s="243"/>
      <c r="L50" s="243"/>
    </row>
    <row r="51" spans="1:12" ht="14.4" customHeight="1" x14ac:dyDescent="0.3">
      <c r="A51" s="227" t="s">
        <v>563</v>
      </c>
      <c r="B51" s="228"/>
      <c r="C51" s="228"/>
      <c r="D51" s="228"/>
      <c r="E51" s="228"/>
      <c r="F51" s="228"/>
      <c r="G51" s="228"/>
      <c r="H51" s="228"/>
      <c r="I51" s="228"/>
      <c r="J51" s="228"/>
      <c r="K51" s="228"/>
      <c r="L51" s="228"/>
    </row>
    <row r="52" spans="1:12" ht="14.4" customHeight="1" x14ac:dyDescent="0.3">
      <c r="A52" s="227" t="s">
        <v>564</v>
      </c>
      <c r="B52" s="228"/>
      <c r="C52" s="228"/>
      <c r="D52" s="228"/>
      <c r="E52" s="228"/>
      <c r="F52" s="228"/>
      <c r="G52" s="228"/>
      <c r="H52" s="228"/>
      <c r="I52" s="228"/>
      <c r="J52" s="228"/>
      <c r="K52" s="228"/>
      <c r="L52" s="228"/>
    </row>
    <row r="53" spans="1:12" ht="14.4" customHeight="1" x14ac:dyDescent="0.3">
      <c r="A53" s="227" t="s">
        <v>565</v>
      </c>
      <c r="B53" s="228"/>
      <c r="C53" s="228"/>
      <c r="D53" s="228"/>
      <c r="E53" s="228"/>
      <c r="F53" s="228"/>
      <c r="G53" s="228"/>
      <c r="H53" s="228"/>
      <c r="I53" s="228"/>
      <c r="J53" s="228"/>
      <c r="K53" s="228"/>
      <c r="L53" s="228"/>
    </row>
  </sheetData>
  <sheetProtection sheet="1" formatCells="0" formatColumns="0" formatRows="0" sort="0" autoFilter="0" pivotTables="0"/>
  <mergeCells count="33">
    <mergeCell ref="B28:B38"/>
    <mergeCell ref="C28:C31"/>
    <mergeCell ref="A1:L1"/>
    <mergeCell ref="G15:G16"/>
    <mergeCell ref="B5:L5"/>
    <mergeCell ref="B2:L2"/>
    <mergeCell ref="K15:K16"/>
    <mergeCell ref="B6:L6"/>
    <mergeCell ref="C12:L12"/>
    <mergeCell ref="A14:L14"/>
    <mergeCell ref="B3:L3"/>
    <mergeCell ref="C15:C16"/>
    <mergeCell ref="I15:I16"/>
    <mergeCell ref="C11:L11"/>
    <mergeCell ref="C10:L10"/>
    <mergeCell ref="A8:L8"/>
    <mergeCell ref="B4:L4"/>
    <mergeCell ref="A53:L53"/>
    <mergeCell ref="H15:H16"/>
    <mergeCell ref="J15:J16"/>
    <mergeCell ref="A50:L50"/>
    <mergeCell ref="A51:L51"/>
    <mergeCell ref="A52:L52"/>
    <mergeCell ref="F15:F16"/>
    <mergeCell ref="L15:L16"/>
    <mergeCell ref="C20:C22"/>
    <mergeCell ref="B20:B26"/>
    <mergeCell ref="D16:E16"/>
    <mergeCell ref="C24:C26"/>
    <mergeCell ref="B15:B16"/>
    <mergeCell ref="C32:C35"/>
    <mergeCell ref="B40:B42"/>
    <mergeCell ref="A15:A16"/>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EA5E9"/>
  </sheetPr>
  <dimension ref="A1:L53"/>
  <sheetViews>
    <sheetView zoomScale="90" zoomScaleNormal="90" workbookViewId="0">
      <pane ySplit="16" topLeftCell="A17" activePane="bottomLeft" state="frozen"/>
      <selection pane="bottomLeft" activeCell="L46" sqref="L46"/>
    </sheetView>
  </sheetViews>
  <sheetFormatPr defaultRowHeight="14.4" x14ac:dyDescent="0.3"/>
  <cols>
    <col min="1" max="1" width="42" style="1" customWidth="1"/>
    <col min="2" max="2" width="16" style="1" customWidth="1"/>
    <col min="3" max="3" width="32" style="1" customWidth="1"/>
    <col min="4" max="4" width="20" style="1" customWidth="1"/>
    <col min="5" max="5" width="16" style="1" customWidth="1"/>
    <col min="6" max="6" width="12" style="1" customWidth="1"/>
    <col min="7" max="7" width="22" style="1" customWidth="1"/>
    <col min="8" max="8" width="16" style="1" customWidth="1"/>
    <col min="9" max="10" width="12" style="1" customWidth="1"/>
    <col min="11" max="11" width="32" style="1" customWidth="1"/>
    <col min="12" max="12" width="16" style="1" customWidth="1"/>
    <col min="13" max="16384" width="8.88671875" style="1"/>
  </cols>
  <sheetData>
    <row r="1" spans="1:12" ht="21" x14ac:dyDescent="0.4">
      <c r="A1" s="223" t="s">
        <v>602</v>
      </c>
      <c r="B1" s="223"/>
      <c r="C1" s="223"/>
      <c r="D1" s="223"/>
      <c r="E1" s="223"/>
      <c r="F1" s="223"/>
      <c r="G1" s="223"/>
      <c r="H1" s="223"/>
      <c r="I1" s="223"/>
      <c r="J1" s="223"/>
      <c r="K1" s="223"/>
      <c r="L1" s="223"/>
    </row>
    <row r="2" spans="1:12" ht="14.4" customHeight="1" x14ac:dyDescent="0.3">
      <c r="A2" s="58" t="s">
        <v>106</v>
      </c>
      <c r="B2" s="244" t="s">
        <v>176</v>
      </c>
      <c r="C2" s="245"/>
      <c r="D2" s="245"/>
      <c r="E2" s="245"/>
      <c r="F2" s="245"/>
      <c r="G2" s="245"/>
      <c r="H2" s="245"/>
      <c r="I2" s="245"/>
      <c r="J2" s="245"/>
      <c r="K2" s="245"/>
      <c r="L2" s="246"/>
    </row>
    <row r="3" spans="1:12" ht="14.4" customHeight="1" x14ac:dyDescent="0.3">
      <c r="A3" s="58" t="s">
        <v>107</v>
      </c>
      <c r="B3" s="244" t="s">
        <v>177</v>
      </c>
      <c r="C3" s="245"/>
      <c r="D3" s="245"/>
      <c r="E3" s="245"/>
      <c r="F3" s="245"/>
      <c r="G3" s="245"/>
      <c r="H3" s="245"/>
      <c r="I3" s="245"/>
      <c r="J3" s="245"/>
      <c r="K3" s="245"/>
      <c r="L3" s="246"/>
    </row>
    <row r="4" spans="1:12" ht="14.4" customHeight="1" x14ac:dyDescent="0.3">
      <c r="A4" s="58" t="s">
        <v>108</v>
      </c>
      <c r="B4" s="244" t="s">
        <v>178</v>
      </c>
      <c r="C4" s="245"/>
      <c r="D4" s="245"/>
      <c r="E4" s="245"/>
      <c r="F4" s="245"/>
      <c r="G4" s="245"/>
      <c r="H4" s="245"/>
      <c r="I4" s="245"/>
      <c r="J4" s="245"/>
      <c r="K4" s="245"/>
      <c r="L4" s="246"/>
    </row>
    <row r="5" spans="1:12" ht="14.4" customHeight="1" x14ac:dyDescent="0.3">
      <c r="A5" s="59" t="s">
        <v>109</v>
      </c>
      <c r="B5" s="252" t="s">
        <v>603</v>
      </c>
      <c r="C5" s="253"/>
      <c r="D5" s="253"/>
      <c r="E5" s="253"/>
      <c r="F5" s="253"/>
      <c r="G5" s="253"/>
      <c r="H5" s="253"/>
      <c r="I5" s="253"/>
      <c r="J5" s="253"/>
      <c r="K5" s="253"/>
      <c r="L5" s="254"/>
    </row>
    <row r="6" spans="1:12" ht="14.4" customHeight="1" x14ac:dyDescent="0.3">
      <c r="A6" s="60" t="s">
        <v>40</v>
      </c>
      <c r="B6" s="255" t="s">
        <v>604</v>
      </c>
      <c r="C6" s="225"/>
      <c r="D6" s="225"/>
      <c r="E6" s="225"/>
      <c r="F6" s="225"/>
      <c r="G6" s="225"/>
      <c r="H6" s="225"/>
      <c r="I6" s="225"/>
      <c r="J6" s="225"/>
      <c r="K6" s="225"/>
      <c r="L6" s="248"/>
    </row>
    <row r="8" spans="1:12" x14ac:dyDescent="0.3">
      <c r="A8" s="260" t="str">
        <f>IF('Project Data'!B7="e-Methanol","Sheet not applicable — Product = e-Methanol. Set Product = e-SAF on Project Data to activate.","")</f>
        <v>Sheet not applicable — Product = e-Methanol. Set Product = e-SAF on Project Data to activate.</v>
      </c>
      <c r="B8" s="243"/>
      <c r="C8" s="243"/>
      <c r="D8" s="243"/>
      <c r="E8" s="243"/>
      <c r="F8" s="243"/>
      <c r="G8" s="243"/>
      <c r="H8" s="243"/>
      <c r="I8" s="243"/>
      <c r="J8" s="243"/>
      <c r="K8" s="243"/>
      <c r="L8" s="243"/>
    </row>
    <row r="10" spans="1:12" x14ac:dyDescent="0.3">
      <c r="A10" s="61" t="s">
        <v>554</v>
      </c>
      <c r="B10" s="62" t="str">
        <f>'Project Data'!B7</f>
        <v>e-Methanol</v>
      </c>
      <c r="C10" s="247" t="s">
        <v>555</v>
      </c>
      <c r="D10" s="225"/>
      <c r="E10" s="225"/>
      <c r="F10" s="225"/>
      <c r="G10" s="225"/>
      <c r="H10" s="225"/>
      <c r="I10" s="225"/>
      <c r="J10" s="225"/>
      <c r="K10" s="225"/>
      <c r="L10" s="248"/>
    </row>
    <row r="11" spans="1:12" x14ac:dyDescent="0.3">
      <c r="A11" s="61" t="s">
        <v>110</v>
      </c>
      <c r="B11" s="62">
        <f>IF('Project Data'!B7="e-SAF",'Project Data'!B14*1000,0)</f>
        <v>0</v>
      </c>
      <c r="C11" s="247" t="s">
        <v>179</v>
      </c>
      <c r="D11" s="225"/>
      <c r="E11" s="225"/>
      <c r="F11" s="225"/>
      <c r="G11" s="225"/>
      <c r="H11" s="225"/>
      <c r="I11" s="225"/>
      <c r="J11" s="225"/>
      <c r="K11" s="225"/>
      <c r="L11" s="248"/>
    </row>
    <row r="12" spans="1:12" x14ac:dyDescent="0.3">
      <c r="A12" s="61" t="s">
        <v>112</v>
      </c>
      <c r="B12" s="62">
        <f>B11*'Emission Factors'!$B$96</f>
        <v>0</v>
      </c>
      <c r="C12" s="247" t="s">
        <v>180</v>
      </c>
      <c r="D12" s="225"/>
      <c r="E12" s="225"/>
      <c r="F12" s="225"/>
      <c r="G12" s="225"/>
      <c r="H12" s="225"/>
      <c r="I12" s="225"/>
      <c r="J12" s="225"/>
      <c r="K12" s="225"/>
      <c r="L12" s="248"/>
    </row>
    <row r="14" spans="1:12" x14ac:dyDescent="0.3">
      <c r="A14" s="256" t="s">
        <v>114</v>
      </c>
      <c r="B14" s="225"/>
      <c r="C14" s="225"/>
      <c r="D14" s="225"/>
      <c r="E14" s="225"/>
      <c r="F14" s="225"/>
      <c r="G14" s="225"/>
      <c r="H14" s="225"/>
      <c r="I14" s="225"/>
      <c r="J14" s="225"/>
      <c r="K14" s="225"/>
      <c r="L14" s="248"/>
    </row>
    <row r="15" spans="1:12" ht="14.4" customHeight="1" x14ac:dyDescent="0.3">
      <c r="A15" s="249" t="s">
        <v>115</v>
      </c>
      <c r="B15" s="249" t="s">
        <v>116</v>
      </c>
      <c r="C15" s="249" t="s">
        <v>117</v>
      </c>
      <c r="D15" s="2" t="s">
        <v>118</v>
      </c>
      <c r="E15" s="2" t="s">
        <v>119</v>
      </c>
      <c r="F15" s="249" t="s">
        <v>120</v>
      </c>
      <c r="G15" s="251" t="s">
        <v>121</v>
      </c>
      <c r="H15" s="249" t="s">
        <v>122</v>
      </c>
      <c r="I15" s="249" t="s">
        <v>123</v>
      </c>
      <c r="J15" s="251" t="s">
        <v>124</v>
      </c>
      <c r="K15" s="249" t="s">
        <v>26</v>
      </c>
      <c r="L15" s="249" t="s">
        <v>125</v>
      </c>
    </row>
    <row r="16" spans="1:12" ht="14.4" customHeight="1" x14ac:dyDescent="0.3">
      <c r="A16" s="250"/>
      <c r="B16" s="250"/>
      <c r="C16" s="250"/>
      <c r="D16" s="249" t="s">
        <v>562</v>
      </c>
      <c r="E16" s="248"/>
      <c r="F16" s="250"/>
      <c r="G16" s="250"/>
      <c r="H16" s="250"/>
      <c r="I16" s="250"/>
      <c r="J16" s="250"/>
      <c r="K16" s="250"/>
      <c r="L16" s="250"/>
    </row>
    <row r="17" spans="1:12" ht="26.4" x14ac:dyDescent="0.3">
      <c r="A17" s="80" t="s">
        <v>566</v>
      </c>
      <c r="B17" s="63" t="s">
        <v>483</v>
      </c>
      <c r="C17" s="3" t="s">
        <v>482</v>
      </c>
      <c r="D17" s="64" t="s">
        <v>483</v>
      </c>
      <c r="E17" s="65">
        <f>'Project Data'!B19</f>
        <v>0.16</v>
      </c>
      <c r="F17" s="39" t="s">
        <v>59</v>
      </c>
      <c r="G17" s="65">
        <f>'Project Data'!B20</f>
        <v>0</v>
      </c>
      <c r="H17" s="66"/>
      <c r="I17" s="65">
        <f>IF(H17&lt;&gt;"",H17,IF(ISNUMBER(G17),G17,0))</f>
        <v>0</v>
      </c>
      <c r="J17" s="39" t="s">
        <v>61</v>
      </c>
      <c r="K17" s="67"/>
      <c r="L17" s="68">
        <f>IF($B$12&gt;0,E17*I17*$B$11/$B$12,0)</f>
        <v>0</v>
      </c>
    </row>
    <row r="18" spans="1:12" ht="26.4" x14ac:dyDescent="0.3">
      <c r="A18" s="80" t="s">
        <v>567</v>
      </c>
      <c r="B18" s="63" t="s">
        <v>483</v>
      </c>
      <c r="C18" s="3" t="s">
        <v>485</v>
      </c>
      <c r="D18" s="64" t="s">
        <v>483</v>
      </c>
      <c r="E18" s="69">
        <f>'Project Data'!B23</f>
        <v>1.1499999999999999</v>
      </c>
      <c r="F18" s="39" t="s">
        <v>446</v>
      </c>
      <c r="G18" s="70">
        <f>'Project Data'!B25</f>
        <v>0</v>
      </c>
      <c r="H18" s="66"/>
      <c r="I18" s="65">
        <f>IF(ISNUMBER(H18),H18,IF(ISNUMBER(G18),G18,0))</f>
        <v>0</v>
      </c>
      <c r="J18" s="39" t="s">
        <v>445</v>
      </c>
      <c r="K18" s="67"/>
      <c r="L18" s="68">
        <f t="shared" ref="L18:L19" si="0">IF($B$12&gt;0,E18*I18*$B$11/$B$12,0)</f>
        <v>0</v>
      </c>
    </row>
    <row r="19" spans="1:12" ht="26.4" x14ac:dyDescent="0.3">
      <c r="A19" s="80" t="s">
        <v>568</v>
      </c>
      <c r="B19" s="63" t="s">
        <v>483</v>
      </c>
      <c r="C19" s="3" t="s">
        <v>484</v>
      </c>
      <c r="D19" s="64" t="s">
        <v>483</v>
      </c>
      <c r="E19" s="69">
        <f>'Project Data'!B28</f>
        <v>0</v>
      </c>
      <c r="F19" s="39" t="s">
        <v>442</v>
      </c>
      <c r="G19" s="70">
        <f>'Project Data'!B29</f>
        <v>0</v>
      </c>
      <c r="H19" s="66"/>
      <c r="I19" s="65">
        <f>IF(ISNUMBER(H19),H19,IF(ISNUMBER(G19),G19,0))</f>
        <v>0</v>
      </c>
      <c r="J19" s="39" t="s">
        <v>133</v>
      </c>
      <c r="K19" s="67"/>
      <c r="L19" s="68">
        <f t="shared" si="0"/>
        <v>0</v>
      </c>
    </row>
    <row r="20" spans="1:12" ht="26.4" x14ac:dyDescent="0.3">
      <c r="A20" s="139" t="s">
        <v>571</v>
      </c>
      <c r="B20" s="230" t="s">
        <v>181</v>
      </c>
      <c r="C20" s="229" t="s">
        <v>573</v>
      </c>
      <c r="D20" s="71" t="str">
        <f>'Project Data'!A32</f>
        <v>Grid Electricity Consumption</v>
      </c>
      <c r="E20" s="65">
        <f>'Project Data'!B32*1000</f>
        <v>350000000</v>
      </c>
      <c r="F20" s="39" t="s">
        <v>126</v>
      </c>
      <c r="G20" s="65" t="s">
        <v>127</v>
      </c>
      <c r="H20" s="66"/>
      <c r="I20" s="65">
        <f t="shared" ref="I20:I35" si="1">IF(H20&lt;&gt;"",H20,IF(ISNUMBER(G20),G20,0))</f>
        <v>0</v>
      </c>
      <c r="J20" s="39" t="s">
        <v>128</v>
      </c>
      <c r="K20" s="67"/>
      <c r="L20" s="68">
        <f>IF($B$12&gt;0,E20*I20/$B$12,0)</f>
        <v>0</v>
      </c>
    </row>
    <row r="21" spans="1:12" ht="26.4" x14ac:dyDescent="0.3">
      <c r="A21" s="139" t="s">
        <v>571</v>
      </c>
      <c r="B21" s="230"/>
      <c r="C21" s="231"/>
      <c r="D21" s="71" t="str">
        <f>'Project Data'!A33</f>
        <v>Renewable Electricity Consumption</v>
      </c>
      <c r="E21" s="65">
        <f>'Project Data'!B33*1000</f>
        <v>5650000000</v>
      </c>
      <c r="F21" s="39" t="s">
        <v>126</v>
      </c>
      <c r="G21" s="72">
        <v>0</v>
      </c>
      <c r="H21" s="66"/>
      <c r="I21" s="65">
        <f t="shared" si="1"/>
        <v>0</v>
      </c>
      <c r="J21" s="39" t="s">
        <v>128</v>
      </c>
      <c r="K21" s="67"/>
      <c r="L21" s="68">
        <f>IF($B$12&gt;0,E21*I21/$B$12,0)</f>
        <v>0</v>
      </c>
    </row>
    <row r="22" spans="1:12" ht="26.4" x14ac:dyDescent="0.3">
      <c r="A22" s="139" t="s">
        <v>571</v>
      </c>
      <c r="B22" s="230"/>
      <c r="C22" s="231"/>
      <c r="D22" s="71" t="str">
        <f>'Project Data'!A34</f>
        <v>Other Electricity Consumption</v>
      </c>
      <c r="E22" s="65">
        <f>'Project Data'!B34*1000</f>
        <v>0</v>
      </c>
      <c r="F22" s="39" t="s">
        <v>126</v>
      </c>
      <c r="G22" s="65" t="s">
        <v>127</v>
      </c>
      <c r="H22" s="66"/>
      <c r="I22" s="65">
        <f t="shared" si="1"/>
        <v>0</v>
      </c>
      <c r="J22" s="39" t="s">
        <v>128</v>
      </c>
      <c r="K22" s="67"/>
      <c r="L22" s="68">
        <f>IF($B$12&gt;0,E22*I22/$B$12,0)</f>
        <v>0</v>
      </c>
    </row>
    <row r="23" spans="1:12" ht="39.6" x14ac:dyDescent="0.3">
      <c r="A23" s="139" t="s">
        <v>163</v>
      </c>
      <c r="B23" s="63" t="s">
        <v>483</v>
      </c>
      <c r="C23" s="117" t="s">
        <v>488</v>
      </c>
      <c r="D23" s="71" t="str">
        <f>'Project Data'!B39</f>
        <v>Deionized water</v>
      </c>
      <c r="E23" s="73">
        <f>IF('Project Data'!B7="e-SAF",'Project Data'!B38,0)</f>
        <v>0</v>
      </c>
      <c r="F23" s="39" t="s">
        <v>72</v>
      </c>
      <c r="G23" s="73">
        <f>IFERROR(VLOOKUP(D23,'Emission Factors'!$A$27:$B$31,2,FALSE),0)</f>
        <v>0.5</v>
      </c>
      <c r="H23" s="74"/>
      <c r="I23" s="73">
        <f t="shared" si="1"/>
        <v>0.5</v>
      </c>
      <c r="J23" s="39" t="s">
        <v>130</v>
      </c>
      <c r="K23" s="67"/>
      <c r="L23" s="75">
        <f>IF($B$12&gt;0,E23*I23*1000/$B$12,0)</f>
        <v>0</v>
      </c>
    </row>
    <row r="24" spans="1:12" x14ac:dyDescent="0.3">
      <c r="A24" s="139" t="s">
        <v>164</v>
      </c>
      <c r="B24" s="230" t="s">
        <v>181</v>
      </c>
      <c r="C24" s="232" t="s">
        <v>489</v>
      </c>
      <c r="D24" s="71" t="str">
        <f>'Project Data'!B46</f>
        <v>Diesel</v>
      </c>
      <c r="E24" s="73">
        <f>IF('Project Data'!B7="e-SAF",'Project Data'!B47,0)</f>
        <v>0</v>
      </c>
      <c r="F24" s="39" t="s">
        <v>77</v>
      </c>
      <c r="G24" s="73">
        <f>IFERROR(VLOOKUP(D24,'Emission Factors'!$A$15:$E$22,5,FALSE),0)</f>
        <v>95.1</v>
      </c>
      <c r="H24" s="74"/>
      <c r="I24" s="73">
        <f t="shared" si="1"/>
        <v>95.1</v>
      </c>
      <c r="J24" s="39" t="s">
        <v>131</v>
      </c>
      <c r="K24" s="67"/>
      <c r="L24" s="75">
        <f>IF($B$12&gt;0,E24*I24/$B$12,0)</f>
        <v>0</v>
      </c>
    </row>
    <row r="25" spans="1:12" x14ac:dyDescent="0.3">
      <c r="A25" s="139" t="s">
        <v>164</v>
      </c>
      <c r="B25" s="230"/>
      <c r="C25" s="233"/>
      <c r="D25" s="71" t="str">
        <f>'Project Data'!B48</f>
        <v>Please select</v>
      </c>
      <c r="E25" s="73">
        <f>IF('Project Data'!B7="e-SAF",'Project Data'!B49,0)</f>
        <v>0</v>
      </c>
      <c r="F25" s="39" t="s">
        <v>77</v>
      </c>
      <c r="G25" s="73">
        <f>IFERROR(VLOOKUP(D25,'Emission Factors'!$A$15:$E$22,5,FALSE),0)</f>
        <v>0</v>
      </c>
      <c r="H25" s="74"/>
      <c r="I25" s="73">
        <f t="shared" si="1"/>
        <v>0</v>
      </c>
      <c r="J25" s="39" t="s">
        <v>131</v>
      </c>
      <c r="K25" s="67"/>
      <c r="L25" s="75">
        <f>IF($B$12&gt;0,E25*I25/$B$12,0)</f>
        <v>0</v>
      </c>
    </row>
    <row r="26" spans="1:12" x14ac:dyDescent="0.3">
      <c r="A26" s="139" t="s">
        <v>164</v>
      </c>
      <c r="B26" s="230"/>
      <c r="C26" s="234"/>
      <c r="D26" s="71" t="str">
        <f>'Project Data'!B50</f>
        <v>Please select</v>
      </c>
      <c r="E26" s="73">
        <f>IF('Project Data'!B7="e-SAF",'Project Data'!B51,0)</f>
        <v>0</v>
      </c>
      <c r="F26" s="39" t="s">
        <v>77</v>
      </c>
      <c r="G26" s="73">
        <f>IFERROR(VLOOKUP(D26,'Emission Factors'!$A$15:$E$22,5,FALSE),0)</f>
        <v>0</v>
      </c>
      <c r="H26" s="74"/>
      <c r="I26" s="73">
        <f t="shared" si="1"/>
        <v>0</v>
      </c>
      <c r="J26" s="39" t="s">
        <v>131</v>
      </c>
      <c r="K26" s="67"/>
      <c r="L26" s="75">
        <f>IF($B$12&gt;0,E26*I26/$B$12,0)</f>
        <v>0</v>
      </c>
    </row>
    <row r="27" spans="1:12" x14ac:dyDescent="0.3">
      <c r="A27" s="139" t="s">
        <v>165</v>
      </c>
      <c r="B27" s="63" t="s">
        <v>483</v>
      </c>
      <c r="C27" s="7" t="s">
        <v>490</v>
      </c>
      <c r="D27" s="71" t="str">
        <f>'Project Data'!B43</f>
        <v>Please select</v>
      </c>
      <c r="E27" s="73">
        <f>IF('Project Data'!B7="e-SAF",'Project Data'!B42,0)</f>
        <v>0</v>
      </c>
      <c r="F27" s="39" t="s">
        <v>77</v>
      </c>
      <c r="G27" s="73">
        <f>IFERROR(VLOOKUP(D27,'Emission Factors'!$A$61:$B$66,2,FALSE),0)</f>
        <v>0</v>
      </c>
      <c r="H27" s="74"/>
      <c r="I27" s="73">
        <f t="shared" si="1"/>
        <v>0</v>
      </c>
      <c r="J27" s="39" t="s">
        <v>132</v>
      </c>
      <c r="K27" s="67"/>
      <c r="L27" s="75">
        <f>IF($B$12&gt;0,E27*I27*1000/$B$12,0)</f>
        <v>0</v>
      </c>
    </row>
    <row r="28" spans="1:12" ht="26.4" x14ac:dyDescent="0.3">
      <c r="A28" s="139" t="s">
        <v>166</v>
      </c>
      <c r="B28" s="263" t="s">
        <v>181</v>
      </c>
      <c r="C28" s="229" t="s">
        <v>491</v>
      </c>
      <c r="D28" s="71" t="str">
        <f>'Project Data'!B54</f>
        <v>Potassium hydroxide (KOH)</v>
      </c>
      <c r="E28" s="73">
        <f>IF('Project Data'!B7="e-SAF",'Project Data'!B55,0)</f>
        <v>0</v>
      </c>
      <c r="F28" s="39" t="s">
        <v>89</v>
      </c>
      <c r="G28" s="73">
        <f>IFERROR(VLOOKUP(D28,'Emission Factors'!$A$39:$B$57,2,FALSE),0)</f>
        <v>419.1</v>
      </c>
      <c r="H28" s="74"/>
      <c r="I28" s="73">
        <f t="shared" si="1"/>
        <v>419.1</v>
      </c>
      <c r="J28" s="39" t="s">
        <v>133</v>
      </c>
      <c r="K28" s="67"/>
      <c r="L28" s="75">
        <f>IF($B$12&gt;0,E28*I28/$B$12,0)</f>
        <v>0</v>
      </c>
    </row>
    <row r="29" spans="1:12" x14ac:dyDescent="0.3">
      <c r="A29" s="139" t="s">
        <v>166</v>
      </c>
      <c r="B29" s="264"/>
      <c r="C29" s="259"/>
      <c r="D29" s="71" t="str">
        <f>'Project Data'!B56</f>
        <v>Please select</v>
      </c>
      <c r="E29" s="73">
        <f>IF('Project Data'!B7="e-SAF",'Project Data'!B57,0)</f>
        <v>0</v>
      </c>
      <c r="F29" s="39" t="s">
        <v>89</v>
      </c>
      <c r="G29" s="73">
        <f>IFERROR(VLOOKUP(D29,'Emission Factors'!$A$39:$B$57,2,FALSE),0)</f>
        <v>0</v>
      </c>
      <c r="H29" s="74"/>
      <c r="I29" s="73">
        <f t="shared" si="1"/>
        <v>0</v>
      </c>
      <c r="J29" s="39" t="s">
        <v>133</v>
      </c>
      <c r="K29" s="67"/>
      <c r="L29" s="75">
        <f>IF($B$12&gt;0,E29*I29/$B$12,0)</f>
        <v>0</v>
      </c>
    </row>
    <row r="30" spans="1:12" x14ac:dyDescent="0.3">
      <c r="A30" s="139" t="s">
        <v>166</v>
      </c>
      <c r="B30" s="264"/>
      <c r="C30" s="259"/>
      <c r="D30" s="71" t="str">
        <f>'Project Data'!B58</f>
        <v>Please select</v>
      </c>
      <c r="E30" s="73">
        <f>IF('Project Data'!B7="e-SAF",'Project Data'!B59,0)</f>
        <v>0</v>
      </c>
      <c r="F30" s="39" t="s">
        <v>89</v>
      </c>
      <c r="G30" s="73">
        <f>IFERROR(VLOOKUP(D30,'Emission Factors'!$A$39:$B$57,2,FALSE),0)</f>
        <v>0</v>
      </c>
      <c r="H30" s="74"/>
      <c r="I30" s="73">
        <f t="shared" si="1"/>
        <v>0</v>
      </c>
      <c r="J30" s="39" t="s">
        <v>133</v>
      </c>
      <c r="K30" s="67"/>
      <c r="L30" s="75">
        <f>IF($B$12&gt;0,E30*I30/$B$12,0)</f>
        <v>0</v>
      </c>
    </row>
    <row r="31" spans="1:12" x14ac:dyDescent="0.3">
      <c r="A31" s="139" t="s">
        <v>166</v>
      </c>
      <c r="B31" s="264"/>
      <c r="C31" s="250"/>
      <c r="D31" s="71" t="str">
        <f>'Project Data'!B60</f>
        <v>Please select</v>
      </c>
      <c r="E31" s="73">
        <f>IF('Project Data'!B7="e-SAF",'Project Data'!B61,0)</f>
        <v>0</v>
      </c>
      <c r="F31" s="39" t="s">
        <v>89</v>
      </c>
      <c r="G31" s="73">
        <f>IFERROR(VLOOKUP(D31,'Emission Factors'!$A$39:$B$57,2,FALSE),0)</f>
        <v>0</v>
      </c>
      <c r="H31" s="74"/>
      <c r="I31" s="73">
        <f t="shared" si="1"/>
        <v>0</v>
      </c>
      <c r="J31" s="39" t="s">
        <v>133</v>
      </c>
      <c r="K31" s="67"/>
      <c r="L31" s="75">
        <f>IF($B$12&gt;0,E31*I31/$B$12,0)</f>
        <v>0</v>
      </c>
    </row>
    <row r="32" spans="1:12" x14ac:dyDescent="0.3">
      <c r="A32" s="139" t="s">
        <v>167</v>
      </c>
      <c r="B32" s="265" t="s">
        <v>181</v>
      </c>
      <c r="C32" s="229" t="s">
        <v>499</v>
      </c>
      <c r="D32" s="71" t="str">
        <f>'Project Data'!B64</f>
        <v>Please select</v>
      </c>
      <c r="E32" s="73">
        <f>IF('Project Data'!B7="e-SAF",'Project Data'!B65,0)</f>
        <v>0</v>
      </c>
      <c r="F32" s="39" t="s">
        <v>89</v>
      </c>
      <c r="G32" s="73">
        <f>IFERROR(VLOOKUP(D32,'Emission Factors'!$A$71:$B$73,2,FALSE),0)</f>
        <v>0</v>
      </c>
      <c r="H32" s="55"/>
      <c r="I32" s="91">
        <f t="shared" si="1"/>
        <v>0</v>
      </c>
      <c r="J32" s="39" t="s">
        <v>138</v>
      </c>
      <c r="K32" s="83"/>
      <c r="L32" s="75">
        <f>IF($B$12&gt;0,E32*I32*1000/$B$12,0)</f>
        <v>0</v>
      </c>
    </row>
    <row r="33" spans="1:12" x14ac:dyDescent="0.3">
      <c r="A33" s="139" t="s">
        <v>167</v>
      </c>
      <c r="B33" s="265"/>
      <c r="C33" s="259"/>
      <c r="D33" s="71" t="str">
        <f>'Project Data'!B66</f>
        <v>Please select</v>
      </c>
      <c r="E33" s="73">
        <f>IF('Project Data'!B7="e-SAF",'Project Data'!B67,0)</f>
        <v>0</v>
      </c>
      <c r="F33" s="39" t="s">
        <v>89</v>
      </c>
      <c r="G33" s="73">
        <f>IFERROR(VLOOKUP(D33,'Emission Factors'!$A$71:$B$73,2,FALSE),0)</f>
        <v>0</v>
      </c>
      <c r="H33" s="55"/>
      <c r="I33" s="91">
        <f t="shared" si="1"/>
        <v>0</v>
      </c>
      <c r="J33" s="39" t="s">
        <v>138</v>
      </c>
      <c r="K33" s="83"/>
      <c r="L33" s="75">
        <f>IF($B$12&gt;0,E33*I33*1000/$B$12,0)</f>
        <v>0</v>
      </c>
    </row>
    <row r="34" spans="1:12" x14ac:dyDescent="0.3">
      <c r="A34" s="139" t="s">
        <v>167</v>
      </c>
      <c r="B34" s="265"/>
      <c r="C34" s="259"/>
      <c r="D34" s="71" t="str">
        <f>'Project Data'!B68</f>
        <v>Please select</v>
      </c>
      <c r="E34" s="73">
        <f>IF('Project Data'!B7="e-SAF",'Project Data'!B69,0)</f>
        <v>0</v>
      </c>
      <c r="F34" s="39" t="s">
        <v>89</v>
      </c>
      <c r="G34" s="73">
        <f>IFERROR(VLOOKUP(D34,'Emission Factors'!$A$71:$B$73,2,FALSE),0)</f>
        <v>0</v>
      </c>
      <c r="H34" s="55"/>
      <c r="I34" s="91">
        <f t="shared" si="1"/>
        <v>0</v>
      </c>
      <c r="J34" s="39" t="s">
        <v>138</v>
      </c>
      <c r="K34" s="83"/>
      <c r="L34" s="75">
        <f>IF($B$12&gt;0,E34*I34*1000/$B$12,0)</f>
        <v>0</v>
      </c>
    </row>
    <row r="35" spans="1:12" x14ac:dyDescent="0.3">
      <c r="A35" s="139" t="s">
        <v>167</v>
      </c>
      <c r="B35" s="265"/>
      <c r="C35" s="250"/>
      <c r="D35" s="71" t="str">
        <f>'Project Data'!B70</f>
        <v>Please select</v>
      </c>
      <c r="E35" s="73">
        <f>IF('Project Data'!B7="e-SAF",'Project Data'!B71,0)</f>
        <v>0</v>
      </c>
      <c r="F35" s="39" t="s">
        <v>89</v>
      </c>
      <c r="G35" s="73">
        <f>IFERROR(VLOOKUP(D35,'Emission Factors'!$A$71:$B$73,2,FALSE),0)</f>
        <v>0</v>
      </c>
      <c r="H35" s="55"/>
      <c r="I35" s="91">
        <f t="shared" si="1"/>
        <v>0</v>
      </c>
      <c r="J35" s="39" t="s">
        <v>138</v>
      </c>
      <c r="K35" s="83"/>
      <c r="L35" s="75">
        <f>IF($B$12&gt;0,E35*I35*1000/$B$12,0)</f>
        <v>0</v>
      </c>
    </row>
    <row r="36" spans="1:12" ht="28.8" x14ac:dyDescent="0.3">
      <c r="A36" s="140" t="s">
        <v>620</v>
      </c>
      <c r="B36" s="8" t="s">
        <v>181</v>
      </c>
      <c r="C36" s="141" t="s">
        <v>621</v>
      </c>
      <c r="D36" s="81"/>
      <c r="E36" s="55"/>
      <c r="F36" s="142" t="s">
        <v>142</v>
      </c>
      <c r="G36" s="4" t="s">
        <v>30</v>
      </c>
      <c r="H36" s="4" t="s">
        <v>30</v>
      </c>
      <c r="I36" s="4" t="s">
        <v>30</v>
      </c>
      <c r="J36" s="4" t="s">
        <v>30</v>
      </c>
      <c r="K36" s="83"/>
      <c r="L36" s="93">
        <f>IF(ISNUMBER(E36),E36,0)</f>
        <v>0</v>
      </c>
    </row>
    <row r="37" spans="1:12" x14ac:dyDescent="0.3">
      <c r="A37" s="76" t="s">
        <v>168</v>
      </c>
      <c r="B37" s="77"/>
      <c r="C37" s="78"/>
      <c r="D37" s="78"/>
      <c r="E37" s="78"/>
      <c r="F37" s="78"/>
      <c r="G37" s="78"/>
      <c r="H37" s="78"/>
      <c r="I37" s="78"/>
      <c r="J37" s="78"/>
      <c r="K37" s="78"/>
      <c r="L37" s="79">
        <f>SUM(L17:L36)</f>
        <v>0</v>
      </c>
    </row>
    <row r="38" spans="1:12" ht="28.8" x14ac:dyDescent="0.3">
      <c r="A38" s="5" t="s">
        <v>579</v>
      </c>
      <c r="B38" s="230" t="s">
        <v>183</v>
      </c>
      <c r="C38" s="8" t="s">
        <v>500</v>
      </c>
      <c r="D38" s="3" t="s">
        <v>30</v>
      </c>
      <c r="E38" s="3" t="s">
        <v>30</v>
      </c>
      <c r="F38" s="3" t="s">
        <v>30</v>
      </c>
      <c r="G38" s="3" t="s">
        <v>30</v>
      </c>
      <c r="H38" s="55"/>
      <c r="I38" s="91">
        <f t="shared" ref="I38:I40" si="2">IF(H38&lt;&gt;"",H38,IF(ISNUMBER(G38),G38,0))</f>
        <v>0</v>
      </c>
      <c r="J38" s="39" t="s">
        <v>546</v>
      </c>
      <c r="K38" s="83"/>
      <c r="L38" s="93">
        <f>I38</f>
        <v>0</v>
      </c>
    </row>
    <row r="39" spans="1:12" ht="28.8" x14ac:dyDescent="0.3">
      <c r="A39" s="5" t="s">
        <v>580</v>
      </c>
      <c r="B39" s="230"/>
      <c r="C39" s="8" t="s">
        <v>622</v>
      </c>
      <c r="D39" s="3" t="s">
        <v>30</v>
      </c>
      <c r="E39" s="3" t="s">
        <v>30</v>
      </c>
      <c r="F39" s="3" t="s">
        <v>30</v>
      </c>
      <c r="G39" s="65">
        <f>0</f>
        <v>0</v>
      </c>
      <c r="H39" s="55"/>
      <c r="I39" s="91">
        <f t="shared" si="2"/>
        <v>0</v>
      </c>
      <c r="J39" s="39" t="s">
        <v>547</v>
      </c>
      <c r="K39" s="83"/>
      <c r="L39" s="93">
        <f>I39*'Emission Factors'!B72</f>
        <v>0</v>
      </c>
    </row>
    <row r="40" spans="1:12" ht="28.8" x14ac:dyDescent="0.3">
      <c r="A40" s="5" t="s">
        <v>170</v>
      </c>
      <c r="B40" s="230"/>
      <c r="C40" s="8" t="s">
        <v>623</v>
      </c>
      <c r="D40" s="3" t="s">
        <v>30</v>
      </c>
      <c r="E40" s="3" t="s">
        <v>30</v>
      </c>
      <c r="F40" s="3" t="s">
        <v>30</v>
      </c>
      <c r="G40" s="65">
        <f>0</f>
        <v>0</v>
      </c>
      <c r="H40" s="55"/>
      <c r="I40" s="91">
        <f t="shared" si="2"/>
        <v>0</v>
      </c>
      <c r="J40" s="39" t="s">
        <v>548</v>
      </c>
      <c r="K40" s="83"/>
      <c r="L40" s="93">
        <f>I40*'Emission Factors'!B73</f>
        <v>0</v>
      </c>
    </row>
    <row r="41" spans="1:12" x14ac:dyDescent="0.3">
      <c r="A41" s="76" t="s">
        <v>172</v>
      </c>
      <c r="B41" s="77"/>
      <c r="C41" s="78"/>
      <c r="D41" s="78"/>
      <c r="E41" s="78"/>
      <c r="F41" s="78"/>
      <c r="G41" s="78"/>
      <c r="H41" s="78"/>
      <c r="I41" s="78"/>
      <c r="J41" s="78"/>
      <c r="K41" s="78"/>
      <c r="L41" s="79">
        <f>SUM(L38:L40)</f>
        <v>0</v>
      </c>
    </row>
    <row r="42" spans="1:12" ht="39.6" x14ac:dyDescent="0.3">
      <c r="A42" s="94" t="s">
        <v>610</v>
      </c>
      <c r="B42" s="95"/>
      <c r="C42" s="96" t="s">
        <v>612</v>
      </c>
      <c r="D42" s="96"/>
      <c r="E42" s="97"/>
      <c r="F42" s="97"/>
      <c r="G42" s="98"/>
      <c r="H42" s="97"/>
      <c r="I42" s="97"/>
      <c r="J42" s="98"/>
      <c r="K42" s="99" t="s">
        <v>369</v>
      </c>
      <c r="L42" s="100">
        <v>1</v>
      </c>
    </row>
    <row r="43" spans="1:12" ht="15.6" x14ac:dyDescent="0.3">
      <c r="A43" s="94" t="s">
        <v>611</v>
      </c>
      <c r="B43" s="95" t="s">
        <v>181</v>
      </c>
      <c r="C43" s="96" t="s">
        <v>184</v>
      </c>
      <c r="D43" s="96"/>
      <c r="E43" s="97"/>
      <c r="F43" s="97"/>
      <c r="G43" s="98"/>
      <c r="H43" s="97"/>
      <c r="I43" s="97"/>
      <c r="J43" s="98"/>
      <c r="K43" s="99" t="s">
        <v>182</v>
      </c>
      <c r="L43" s="101">
        <f>IF('Project Data'!B7="e-SAF",L42*(L37+L41),0)</f>
        <v>0</v>
      </c>
    </row>
    <row r="44" spans="1:12" ht="15.6" x14ac:dyDescent="0.3">
      <c r="A44" s="94" t="s">
        <v>185</v>
      </c>
      <c r="B44" s="95" t="s">
        <v>30</v>
      </c>
      <c r="C44" s="96" t="s">
        <v>186</v>
      </c>
      <c r="D44" s="96"/>
      <c r="E44" s="97"/>
      <c r="F44" s="97"/>
      <c r="G44" s="98"/>
      <c r="H44" s="97"/>
      <c r="I44" s="97"/>
      <c r="J44" s="102"/>
      <c r="K44" s="99" t="s">
        <v>187</v>
      </c>
      <c r="L44" s="101">
        <f>L43*'Emission Factors'!$B$96/1000</f>
        <v>0</v>
      </c>
    </row>
    <row r="45" spans="1:12" x14ac:dyDescent="0.3">
      <c r="A45" s="80" t="s">
        <v>188</v>
      </c>
      <c r="B45" s="6" t="s">
        <v>189</v>
      </c>
      <c r="C45" s="80"/>
      <c r="D45" s="6"/>
      <c r="E45" s="6"/>
      <c r="F45" s="6"/>
      <c r="G45" s="6"/>
      <c r="H45" s="6"/>
      <c r="I45" s="6"/>
      <c r="J45" s="6"/>
      <c r="K45" s="103" t="s">
        <v>131</v>
      </c>
      <c r="L45" s="104">
        <f>'Emission Factors'!$B$131</f>
        <v>89</v>
      </c>
    </row>
    <row r="46" spans="1:12" ht="15.6" x14ac:dyDescent="0.3">
      <c r="A46" s="94" t="s">
        <v>190</v>
      </c>
      <c r="B46" s="95"/>
      <c r="C46" s="96"/>
      <c r="D46" s="96"/>
      <c r="E46" s="97"/>
      <c r="F46" s="97"/>
      <c r="G46" s="98"/>
      <c r="H46" s="97"/>
      <c r="I46" s="97"/>
      <c r="J46" s="98"/>
      <c r="K46" s="99"/>
      <c r="L46" s="143">
        <f>IF(L45&gt;0,(L45-L43)/L45,0)</f>
        <v>1</v>
      </c>
    </row>
    <row r="47" spans="1:12" ht="15.6" x14ac:dyDescent="0.3">
      <c r="A47" s="94" t="s">
        <v>191</v>
      </c>
      <c r="B47" s="95"/>
      <c r="C47" s="96"/>
      <c r="D47" s="96"/>
      <c r="E47" s="97"/>
      <c r="F47" s="97"/>
      <c r="G47" s="98"/>
      <c r="H47" s="97"/>
      <c r="I47" s="97"/>
      <c r="J47" s="102"/>
      <c r="K47" s="99"/>
      <c r="L47" s="101" t="str">
        <f>IF(L46&gt;=0.1,"PASS","FAIL")</f>
        <v>PASS</v>
      </c>
    </row>
    <row r="49" spans="1:12" x14ac:dyDescent="0.3">
      <c r="A49" s="242" t="s">
        <v>194</v>
      </c>
      <c r="B49" s="243"/>
      <c r="C49" s="243"/>
      <c r="D49" s="243"/>
      <c r="E49" s="243"/>
      <c r="F49" s="243"/>
      <c r="G49" s="243"/>
      <c r="H49" s="243"/>
      <c r="I49" s="243"/>
      <c r="J49" s="243"/>
      <c r="K49" s="243"/>
      <c r="L49" s="243"/>
    </row>
    <row r="50" spans="1:12" x14ac:dyDescent="0.3">
      <c r="A50" s="261" t="s">
        <v>598</v>
      </c>
      <c r="B50" s="262"/>
      <c r="C50" s="262"/>
      <c r="D50" s="262"/>
      <c r="E50" s="262"/>
      <c r="F50" s="262"/>
      <c r="G50" s="262"/>
      <c r="H50" s="262"/>
      <c r="I50" s="262"/>
      <c r="J50" s="262"/>
      <c r="K50" s="262"/>
      <c r="L50" s="262"/>
    </row>
    <row r="51" spans="1:12" x14ac:dyDescent="0.3">
      <c r="A51" s="261" t="s">
        <v>599</v>
      </c>
      <c r="B51" s="262"/>
      <c r="C51" s="262"/>
      <c r="D51" s="262"/>
      <c r="E51" s="262"/>
      <c r="F51" s="262"/>
      <c r="G51" s="262"/>
      <c r="H51" s="262"/>
      <c r="I51" s="262"/>
      <c r="J51" s="262"/>
      <c r="K51" s="262"/>
      <c r="L51" s="262"/>
    </row>
    <row r="52" spans="1:12" x14ac:dyDescent="0.3">
      <c r="A52" s="261" t="s">
        <v>601</v>
      </c>
      <c r="B52" s="262"/>
      <c r="C52" s="262"/>
      <c r="D52" s="262"/>
      <c r="E52" s="262"/>
      <c r="F52" s="262"/>
      <c r="G52" s="262"/>
      <c r="H52" s="262"/>
      <c r="I52" s="262"/>
      <c r="J52" s="262"/>
      <c r="K52" s="262"/>
      <c r="L52" s="262"/>
    </row>
    <row r="53" spans="1:12" ht="14.4" customHeight="1" x14ac:dyDescent="0.3">
      <c r="A53" s="227" t="s">
        <v>600</v>
      </c>
      <c r="B53" s="228"/>
      <c r="C53" s="228"/>
      <c r="D53" s="228"/>
      <c r="E53" s="228"/>
      <c r="F53" s="228"/>
      <c r="G53" s="228"/>
      <c r="H53" s="228"/>
      <c r="I53" s="228"/>
      <c r="J53" s="228"/>
      <c r="K53" s="228"/>
      <c r="L53" s="228"/>
    </row>
  </sheetData>
  <sheetProtection sheet="1" formatCells="0" formatColumns="0" formatRows="0" sort="0" autoFilter="0" pivotTables="0"/>
  <mergeCells count="36">
    <mergeCell ref="A53:L53"/>
    <mergeCell ref="F15:F16"/>
    <mergeCell ref="A52:L52"/>
    <mergeCell ref="A49:L49"/>
    <mergeCell ref="A51:L51"/>
    <mergeCell ref="B38:B40"/>
    <mergeCell ref="A50:L50"/>
    <mergeCell ref="B24:B26"/>
    <mergeCell ref="B28:B31"/>
    <mergeCell ref="B32:B35"/>
    <mergeCell ref="C24:C26"/>
    <mergeCell ref="C28:C31"/>
    <mergeCell ref="C32:C35"/>
    <mergeCell ref="A1:L1"/>
    <mergeCell ref="B5:L5"/>
    <mergeCell ref="K15:K16"/>
    <mergeCell ref="L15:L16"/>
    <mergeCell ref="B15:B16"/>
    <mergeCell ref="H15:H16"/>
    <mergeCell ref="G15:G16"/>
    <mergeCell ref="A14:L14"/>
    <mergeCell ref="B2:L2"/>
    <mergeCell ref="D16:E16"/>
    <mergeCell ref="J15:J16"/>
    <mergeCell ref="B6:L6"/>
    <mergeCell ref="B3:L3"/>
    <mergeCell ref="I15:I16"/>
    <mergeCell ref="A15:A16"/>
    <mergeCell ref="C15:C16"/>
    <mergeCell ref="B4:L4"/>
    <mergeCell ref="A8:L8"/>
    <mergeCell ref="C11:L11"/>
    <mergeCell ref="C10:L10"/>
    <mergeCell ref="B20:B22"/>
    <mergeCell ref="C20:C22"/>
    <mergeCell ref="C12:L1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E16"/>
  <sheetViews>
    <sheetView workbookViewId="0">
      <pane ySplit="1" topLeftCell="A2" activePane="bottomLeft" state="frozen"/>
      <selection pane="bottomLeft" activeCell="C9" sqref="C9"/>
    </sheetView>
  </sheetViews>
  <sheetFormatPr defaultRowHeight="14.4" x14ac:dyDescent="0.3"/>
  <cols>
    <col min="1" max="1" width="42" style="1" customWidth="1"/>
    <col min="2" max="4" width="28" style="1" customWidth="1"/>
    <col min="5" max="5" width="40" style="1" customWidth="1"/>
    <col min="6" max="16384" width="8.88671875" style="1"/>
  </cols>
  <sheetData>
    <row r="1" spans="1:5" x14ac:dyDescent="0.3">
      <c r="A1" s="266" t="s">
        <v>591</v>
      </c>
      <c r="B1" s="253"/>
      <c r="C1" s="253"/>
      <c r="D1" s="253"/>
      <c r="E1" s="254"/>
    </row>
    <row r="2" spans="1:5" x14ac:dyDescent="0.3">
      <c r="A2" s="144" t="s">
        <v>195</v>
      </c>
      <c r="B2" s="9" t="str">
        <f>'Project Data'!B9</f>
        <v>Yes</v>
      </c>
      <c r="C2" s="9" t="str">
        <f>'Project Data'!B10</f>
        <v>Yes</v>
      </c>
      <c r="D2" s="9" t="str">
        <f>'Project Data'!B11</f>
        <v>No</v>
      </c>
      <c r="E2" s="145"/>
    </row>
    <row r="3" spans="1:5" x14ac:dyDescent="0.3">
      <c r="A3" s="144" t="s">
        <v>196</v>
      </c>
      <c r="B3" s="9" t="s">
        <v>42</v>
      </c>
      <c r="C3" s="9" t="str">
        <f>IF('Project Data'!B7="e-Methanol","Yes","No")</f>
        <v>Yes</v>
      </c>
      <c r="D3" s="9" t="str">
        <f>IF('Project Data'!B7="e-SAF","Yes","No")</f>
        <v>No</v>
      </c>
      <c r="E3" s="145"/>
    </row>
    <row r="4" spans="1:5" x14ac:dyDescent="0.3">
      <c r="A4" s="144" t="s">
        <v>197</v>
      </c>
      <c r="B4" s="269" t="str">
        <f>'Project Data'!B7</f>
        <v>e-Methanol</v>
      </c>
      <c r="C4" s="269"/>
      <c r="D4" s="269"/>
      <c r="E4" s="145"/>
    </row>
    <row r="5" spans="1:5" x14ac:dyDescent="0.3">
      <c r="A5" s="146"/>
      <c r="B5" s="147"/>
      <c r="C5" s="147"/>
      <c r="D5" s="147"/>
      <c r="E5" s="148"/>
    </row>
    <row r="6" spans="1:5" x14ac:dyDescent="0.3">
      <c r="A6" s="149" t="s">
        <v>198</v>
      </c>
      <c r="B6" s="150" t="s">
        <v>199</v>
      </c>
      <c r="C6" s="151" t="s">
        <v>200</v>
      </c>
      <c r="D6" s="152" t="s">
        <v>201</v>
      </c>
      <c r="E6" s="153" t="s">
        <v>202</v>
      </c>
    </row>
    <row r="7" spans="1:5" x14ac:dyDescent="0.3">
      <c r="A7" s="154" t="s">
        <v>597</v>
      </c>
      <c r="B7" s="155">
        <f>IF(B$2="Yes",'EU RFNBO'!L45,"NA")</f>
        <v>0.35572620333333327</v>
      </c>
      <c r="C7" s="155">
        <f>IF(AND(C$2="Yes",C$3="Yes"),IMO!L46,"NA")</f>
        <v>0.36056190333333327</v>
      </c>
      <c r="D7" s="155" t="str">
        <f>IF(AND(D$2="Yes",D$3="Yes"),CORSIA!L44,"NA")</f>
        <v>NA</v>
      </c>
      <c r="E7" s="145"/>
    </row>
    <row r="8" spans="1:5" x14ac:dyDescent="0.3">
      <c r="A8" s="154" t="s">
        <v>592</v>
      </c>
      <c r="B8" s="155">
        <f>IF(B$2="Yes",'EU RFNBO'!L44,"NA")</f>
        <v>17.87568860971524</v>
      </c>
      <c r="C8" s="155">
        <f>IF(AND(C$2="Yes",C$3="Yes"),IMO!L45,"NA")</f>
        <v>18.118688609715239</v>
      </c>
      <c r="D8" s="155" t="str">
        <f>IF(AND(D$2="Yes",D$3="Yes"),CORSIA!L43,"NA")</f>
        <v>NA</v>
      </c>
      <c r="E8" s="145"/>
    </row>
    <row r="9" spans="1:5" x14ac:dyDescent="0.3">
      <c r="A9" s="154" t="s">
        <v>594</v>
      </c>
      <c r="B9" s="156">
        <f>IF(B$2="Yes",'EU RFNBO'!L47,"NA")</f>
        <v>0.80983309989664642</v>
      </c>
      <c r="C9" s="156">
        <f>IF(AND(C$2="Yes",C$3="Yes"),IMO!L48,"NA")</f>
        <v>0.80580183698054408</v>
      </c>
      <c r="D9" s="155" t="str">
        <f>IF(AND(D$2="Yes",D$3="Yes"),CORSIA!L46,"NA")</f>
        <v>NA</v>
      </c>
      <c r="E9" s="145"/>
    </row>
    <row r="10" spans="1:5" ht="45" customHeight="1" x14ac:dyDescent="0.3">
      <c r="A10" s="157" t="s">
        <v>159</v>
      </c>
      <c r="B10" s="158" t="s">
        <v>160</v>
      </c>
      <c r="C10" s="159" t="s">
        <v>595</v>
      </c>
      <c r="D10" s="160" t="s">
        <v>193</v>
      </c>
      <c r="E10" s="145"/>
    </row>
    <row r="11" spans="1:5" x14ac:dyDescent="0.3">
      <c r="A11" s="157" t="s">
        <v>203</v>
      </c>
      <c r="B11" s="161" t="str">
        <f>IF(B$2="Yes",'EU RFNBO'!L48,"NA")</f>
        <v>PASS</v>
      </c>
      <c r="C11" s="162" t="str">
        <f>IF(AND(C$2="Yes",C$3="Yes"),"Informational","NA")</f>
        <v>Informational</v>
      </c>
      <c r="D11" s="163" t="str">
        <f>IF(AND(D$2="Yes",D$3="Yes"),CORSIA!L47,"NA")</f>
        <v>NA</v>
      </c>
      <c r="E11" s="145"/>
    </row>
    <row r="13" spans="1:5" x14ac:dyDescent="0.3">
      <c r="A13" s="267" t="s">
        <v>204</v>
      </c>
      <c r="B13" s="268"/>
      <c r="C13" s="268"/>
      <c r="D13" s="268"/>
      <c r="E13" s="268"/>
    </row>
    <row r="14" spans="1:5" ht="52.8" x14ac:dyDescent="0.3">
      <c r="A14" s="58" t="s">
        <v>205</v>
      </c>
      <c r="B14" s="164" t="s">
        <v>588</v>
      </c>
      <c r="C14" s="165" t="s">
        <v>206</v>
      </c>
      <c r="D14" s="160" t="s">
        <v>207</v>
      </c>
      <c r="E14" s="145"/>
    </row>
    <row r="15" spans="1:5" ht="39.6" x14ac:dyDescent="0.3">
      <c r="A15" s="58" t="s">
        <v>158</v>
      </c>
      <c r="B15" s="164" t="s">
        <v>589</v>
      </c>
      <c r="C15" s="165" t="s">
        <v>208</v>
      </c>
      <c r="D15" s="160" t="s">
        <v>209</v>
      </c>
      <c r="E15" s="145"/>
    </row>
    <row r="16" spans="1:5" ht="41.4" x14ac:dyDescent="0.3">
      <c r="A16" s="58" t="s">
        <v>40</v>
      </c>
      <c r="B16" s="164" t="s">
        <v>625</v>
      </c>
      <c r="C16" s="165" t="s">
        <v>590</v>
      </c>
      <c r="D16" s="160" t="s">
        <v>192</v>
      </c>
      <c r="E16" s="145"/>
    </row>
  </sheetData>
  <sheetProtection sheet="1" formatCells="0" formatColumns="0" formatRows="0" sort="0" autoFilter="0" pivotTables="0"/>
  <mergeCells count="3">
    <mergeCell ref="A1:E1"/>
    <mergeCell ref="A13:E13"/>
    <mergeCell ref="B4:D4"/>
  </mergeCells>
  <conditionalFormatting sqref="B2">
    <cfRule type="expression" dxfId="11" priority="1">
      <formula>$B$2="Yes"</formula>
    </cfRule>
    <cfRule type="expression" dxfId="10" priority="2">
      <formula>$B$2="No"</formula>
    </cfRule>
  </conditionalFormatting>
  <conditionalFormatting sqref="B3">
    <cfRule type="expression" dxfId="9" priority="7">
      <formula>$B$3="Yes"</formula>
    </cfRule>
    <cfRule type="expression" dxfId="8" priority="8">
      <formula>$B$3="No"</formula>
    </cfRule>
  </conditionalFormatting>
  <conditionalFormatting sqref="C2">
    <cfRule type="expression" dxfId="7" priority="3">
      <formula>$C$2="Yes"</formula>
    </cfRule>
    <cfRule type="expression" dxfId="6" priority="4">
      <formula>$C$2="No"</formula>
    </cfRule>
  </conditionalFormatting>
  <conditionalFormatting sqref="C3">
    <cfRule type="expression" dxfId="5" priority="9">
      <formula>$C$3="Yes"</formula>
    </cfRule>
    <cfRule type="expression" dxfId="4" priority="10">
      <formula>$C$3="No"</formula>
    </cfRule>
  </conditionalFormatting>
  <conditionalFormatting sqref="D2">
    <cfRule type="expression" dxfId="3" priority="5">
      <formula>$D$2="Yes"</formula>
    </cfRule>
    <cfRule type="expression" dxfId="2" priority="6">
      <formula>$D$2="No"</formula>
    </cfRule>
  </conditionalFormatting>
  <conditionalFormatting sqref="D3">
    <cfRule type="expression" dxfId="1" priority="11">
      <formula>$D$3="Yes"</formula>
    </cfRule>
    <cfRule type="expression" dxfId="0" priority="12">
      <formula>$D$3="No"</formula>
    </cfRule>
  </conditionalFormatting>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548235"/>
  </sheetPr>
  <dimension ref="A1:F151"/>
  <sheetViews>
    <sheetView workbookViewId="0">
      <pane ySplit="3" topLeftCell="A4" activePane="bottomLeft" state="frozen"/>
      <selection pane="bottomLeft" activeCell="A4" sqref="A4"/>
    </sheetView>
  </sheetViews>
  <sheetFormatPr defaultRowHeight="14.4" x14ac:dyDescent="0.3"/>
  <cols>
    <col min="1" max="1" width="42" style="1" customWidth="1"/>
    <col min="2" max="2" width="16" style="1" customWidth="1"/>
    <col min="3" max="3" width="24" style="1" customWidth="1"/>
    <col min="4" max="4" width="36" style="1" customWidth="1"/>
    <col min="5" max="5" width="18" style="1" customWidth="1"/>
    <col min="6" max="6" width="42" style="1" customWidth="1"/>
    <col min="7" max="16384" width="8.88671875" style="1"/>
  </cols>
  <sheetData>
    <row r="1" spans="1:6" ht="21" x14ac:dyDescent="0.4">
      <c r="A1" s="223" t="s">
        <v>210</v>
      </c>
      <c r="B1" s="223"/>
      <c r="C1" s="223"/>
      <c r="D1" s="223"/>
      <c r="E1" s="223"/>
      <c r="F1" s="223"/>
    </row>
    <row r="2" spans="1:6" x14ac:dyDescent="0.3">
      <c r="B2" s="166"/>
      <c r="F2" s="166"/>
    </row>
    <row r="3" spans="1:6" x14ac:dyDescent="0.3">
      <c r="A3" s="270" t="s">
        <v>211</v>
      </c>
      <c r="B3" s="225"/>
      <c r="C3" s="225"/>
      <c r="D3" s="225"/>
      <c r="E3" s="225"/>
      <c r="F3" s="248"/>
    </row>
    <row r="4" spans="1:6" x14ac:dyDescent="0.3">
      <c r="A4" s="167" t="s">
        <v>212</v>
      </c>
      <c r="B4" s="167" t="s">
        <v>213</v>
      </c>
      <c r="C4" s="167" t="s">
        <v>24</v>
      </c>
      <c r="D4" s="167" t="s">
        <v>214</v>
      </c>
      <c r="E4" s="167" t="s">
        <v>215</v>
      </c>
      <c r="F4" s="167" t="s">
        <v>216</v>
      </c>
    </row>
    <row r="5" spans="1:6" ht="52.8" x14ac:dyDescent="0.3">
      <c r="A5" s="168" t="s">
        <v>217</v>
      </c>
      <c r="B5" s="169"/>
      <c r="C5" s="169" t="s">
        <v>128</v>
      </c>
      <c r="D5" s="169" t="s">
        <v>218</v>
      </c>
      <c r="E5" s="170" t="s">
        <v>219</v>
      </c>
      <c r="F5" s="169" t="s">
        <v>506</v>
      </c>
    </row>
    <row r="6" spans="1:6" ht="52.8" x14ac:dyDescent="0.3">
      <c r="A6" s="168" t="s">
        <v>507</v>
      </c>
      <c r="B6" s="169"/>
      <c r="C6" s="169" t="s">
        <v>30</v>
      </c>
      <c r="D6" s="169" t="s">
        <v>508</v>
      </c>
      <c r="E6" s="170" t="s">
        <v>509</v>
      </c>
      <c r="F6" s="169" t="s">
        <v>510</v>
      </c>
    </row>
    <row r="7" spans="1:6" ht="26.4" x14ac:dyDescent="0.3">
      <c r="A7" s="119" t="s">
        <v>511</v>
      </c>
      <c r="B7" s="171">
        <v>710</v>
      </c>
      <c r="C7" s="39" t="s">
        <v>128</v>
      </c>
      <c r="D7" s="142" t="s">
        <v>512</v>
      </c>
      <c r="E7" s="142" t="s">
        <v>513</v>
      </c>
      <c r="F7" s="172" t="s">
        <v>514</v>
      </c>
    </row>
    <row r="8" spans="1:6" ht="39.6" x14ac:dyDescent="0.3">
      <c r="A8" s="119" t="s">
        <v>515</v>
      </c>
      <c r="B8" s="173"/>
      <c r="C8" s="39" t="s">
        <v>128</v>
      </c>
      <c r="D8" s="142" t="s">
        <v>516</v>
      </c>
      <c r="E8" s="142" t="s">
        <v>517</v>
      </c>
      <c r="F8" s="172" t="s">
        <v>514</v>
      </c>
    </row>
    <row r="9" spans="1:6" ht="26.4" x14ac:dyDescent="0.3">
      <c r="A9" s="119" t="s">
        <v>518</v>
      </c>
      <c r="B9" s="171">
        <v>459.4</v>
      </c>
      <c r="C9" s="39" t="s">
        <v>128</v>
      </c>
      <c r="D9" s="142" t="s">
        <v>519</v>
      </c>
      <c r="E9" s="142" t="s">
        <v>520</v>
      </c>
      <c r="F9" s="172" t="s">
        <v>521</v>
      </c>
    </row>
    <row r="10" spans="1:6" ht="26.4" x14ac:dyDescent="0.3">
      <c r="A10" s="119" t="s">
        <v>220</v>
      </c>
      <c r="B10" s="173"/>
      <c r="C10" s="39" t="s">
        <v>128</v>
      </c>
      <c r="D10" s="142" t="s">
        <v>221</v>
      </c>
      <c r="E10" s="142" t="s">
        <v>222</v>
      </c>
      <c r="F10" s="172" t="s">
        <v>223</v>
      </c>
    </row>
    <row r="11" spans="1:6" x14ac:dyDescent="0.3">
      <c r="B11" s="166"/>
      <c r="F11" s="166"/>
    </row>
    <row r="12" spans="1:6" x14ac:dyDescent="0.3">
      <c r="A12" s="270" t="s">
        <v>224</v>
      </c>
      <c r="B12" s="225"/>
      <c r="C12" s="225"/>
      <c r="D12" s="225"/>
      <c r="E12" s="225"/>
      <c r="F12" s="248"/>
    </row>
    <row r="13" spans="1:6" ht="28.8" x14ac:dyDescent="0.3">
      <c r="A13" s="167" t="s">
        <v>225</v>
      </c>
      <c r="B13" s="167" t="s">
        <v>226</v>
      </c>
      <c r="C13" s="167" t="s">
        <v>227</v>
      </c>
      <c r="D13" s="167" t="s">
        <v>228</v>
      </c>
      <c r="E13" s="167" t="s">
        <v>229</v>
      </c>
      <c r="F13" s="167" t="s">
        <v>230</v>
      </c>
    </row>
    <row r="14" spans="1:6" x14ac:dyDescent="0.3">
      <c r="A14" s="174" t="s">
        <v>49</v>
      </c>
      <c r="B14" s="175"/>
      <c r="C14" s="176"/>
      <c r="D14" s="177"/>
      <c r="E14" s="178"/>
      <c r="F14" s="179" t="s">
        <v>240</v>
      </c>
    </row>
    <row r="15" spans="1:6" ht="22.8" x14ac:dyDescent="0.3">
      <c r="A15" s="180" t="s">
        <v>231</v>
      </c>
      <c r="B15" s="181">
        <v>56.1</v>
      </c>
      <c r="C15" s="182">
        <v>5.3999999999999999E-2</v>
      </c>
      <c r="D15" s="183">
        <v>9.6999999999999993</v>
      </c>
      <c r="E15" s="184">
        <v>66</v>
      </c>
      <c r="F15" s="185" t="s">
        <v>522</v>
      </c>
    </row>
    <row r="16" spans="1:6" ht="22.8" x14ac:dyDescent="0.3">
      <c r="A16" s="180" t="s">
        <v>232</v>
      </c>
      <c r="B16" s="181">
        <v>74.099999999999994</v>
      </c>
      <c r="C16" s="182">
        <v>0.24299999999999999</v>
      </c>
      <c r="D16" s="183">
        <v>21.9</v>
      </c>
      <c r="E16" s="184">
        <v>95.1</v>
      </c>
      <c r="F16" s="185" t="s">
        <v>523</v>
      </c>
    </row>
    <row r="17" spans="1:6" ht="22.8" x14ac:dyDescent="0.3">
      <c r="A17" s="180" t="s">
        <v>233</v>
      </c>
      <c r="B17" s="181">
        <v>69.3</v>
      </c>
      <c r="C17" s="182">
        <v>0.24299999999999999</v>
      </c>
      <c r="D17" s="183">
        <v>19.899999999999999</v>
      </c>
      <c r="E17" s="184">
        <v>93.3</v>
      </c>
      <c r="F17" s="185" t="s">
        <v>524</v>
      </c>
    </row>
    <row r="18" spans="1:6" ht="22.8" x14ac:dyDescent="0.3">
      <c r="A18" s="180" t="s">
        <v>234</v>
      </c>
      <c r="B18" s="181">
        <v>77.400000000000006</v>
      </c>
      <c r="C18" s="182">
        <v>0.24299999999999999</v>
      </c>
      <c r="D18" s="183">
        <v>13.6</v>
      </c>
      <c r="E18" s="184">
        <v>94.2</v>
      </c>
      <c r="F18" s="185" t="s">
        <v>525</v>
      </c>
    </row>
    <row r="19" spans="1:6" ht="34.200000000000003" x14ac:dyDescent="0.3">
      <c r="A19" s="180" t="s">
        <v>235</v>
      </c>
      <c r="B19" s="181">
        <v>68.900000000000006</v>
      </c>
      <c r="C19" s="182">
        <v>0</v>
      </c>
      <c r="D19" s="183">
        <v>28.2</v>
      </c>
      <c r="E19" s="184">
        <v>97.1</v>
      </c>
      <c r="F19" s="185" t="s">
        <v>526</v>
      </c>
    </row>
    <row r="20" spans="1:6" ht="34.200000000000003" x14ac:dyDescent="0.3">
      <c r="A20" s="180" t="s">
        <v>236</v>
      </c>
      <c r="B20" s="181">
        <v>94.6</v>
      </c>
      <c r="C20" s="182">
        <v>0.42599999999999999</v>
      </c>
      <c r="D20" s="183">
        <v>16.2</v>
      </c>
      <c r="E20" s="184">
        <v>112.3</v>
      </c>
      <c r="F20" s="185" t="s">
        <v>527</v>
      </c>
    </row>
    <row r="21" spans="1:6" ht="45.6" x14ac:dyDescent="0.3">
      <c r="A21" s="180" t="s">
        <v>237</v>
      </c>
      <c r="B21" s="181">
        <v>101</v>
      </c>
      <c r="C21" s="182">
        <v>0.42599999999999999</v>
      </c>
      <c r="D21" s="183">
        <v>1.7</v>
      </c>
      <c r="E21" s="184">
        <v>116.7</v>
      </c>
      <c r="F21" s="185" t="s">
        <v>528</v>
      </c>
    </row>
    <row r="22" spans="1:6" ht="45.6" x14ac:dyDescent="0.3">
      <c r="A22" s="180" t="s">
        <v>238</v>
      </c>
      <c r="B22" s="181">
        <v>63.1</v>
      </c>
      <c r="C22" s="182">
        <v>5.3999999999999999E-2</v>
      </c>
      <c r="D22" s="183">
        <v>11.6</v>
      </c>
      <c r="E22" s="184">
        <v>74.75</v>
      </c>
      <c r="F22" s="185" t="s">
        <v>529</v>
      </c>
    </row>
    <row r="23" spans="1:6" x14ac:dyDescent="0.3">
      <c r="A23" s="186" t="s">
        <v>239</v>
      </c>
      <c r="B23" s="181"/>
      <c r="C23" s="182"/>
      <c r="D23" s="183"/>
      <c r="E23" s="184"/>
      <c r="F23" s="185" t="s">
        <v>240</v>
      </c>
    </row>
    <row r="24" spans="1:6" x14ac:dyDescent="0.3">
      <c r="B24" s="166"/>
      <c r="F24" s="166"/>
    </row>
    <row r="25" spans="1:6" x14ac:dyDescent="0.3">
      <c r="A25" s="270" t="s">
        <v>241</v>
      </c>
      <c r="B25" s="225"/>
      <c r="C25" s="225"/>
      <c r="D25" s="225"/>
      <c r="E25" s="225"/>
      <c r="F25" s="248"/>
    </row>
    <row r="26" spans="1:6" x14ac:dyDescent="0.3">
      <c r="A26" s="167" t="s">
        <v>242</v>
      </c>
      <c r="B26" s="167" t="s">
        <v>213</v>
      </c>
      <c r="C26" s="167" t="s">
        <v>24</v>
      </c>
      <c r="D26" s="167" t="s">
        <v>214</v>
      </c>
      <c r="E26" s="167" t="s">
        <v>215</v>
      </c>
      <c r="F26" s="167" t="s">
        <v>216</v>
      </c>
    </row>
    <row r="27" spans="1:6" x14ac:dyDescent="0.3">
      <c r="A27" s="174" t="s">
        <v>49</v>
      </c>
      <c r="B27" s="175"/>
      <c r="C27" s="176"/>
      <c r="D27" s="177"/>
      <c r="E27" s="178"/>
      <c r="F27" s="179" t="s">
        <v>240</v>
      </c>
    </row>
    <row r="28" spans="1:6" x14ac:dyDescent="0.3">
      <c r="A28" s="180" t="s">
        <v>243</v>
      </c>
      <c r="B28" s="187">
        <v>0.34399999999999997</v>
      </c>
      <c r="C28" s="188" t="s">
        <v>130</v>
      </c>
      <c r="D28" s="189" t="s">
        <v>244</v>
      </c>
      <c r="E28" s="189" t="s">
        <v>245</v>
      </c>
      <c r="F28" s="185" t="s">
        <v>246</v>
      </c>
    </row>
    <row r="29" spans="1:6" ht="22.8" x14ac:dyDescent="0.3">
      <c r="A29" s="180" t="s">
        <v>247</v>
      </c>
      <c r="B29" s="187">
        <v>1.8</v>
      </c>
      <c r="C29" s="188" t="s">
        <v>130</v>
      </c>
      <c r="D29" s="189" t="s">
        <v>248</v>
      </c>
      <c r="E29" s="189" t="s">
        <v>30</v>
      </c>
      <c r="F29" s="185" t="s">
        <v>530</v>
      </c>
    </row>
    <row r="30" spans="1:6" x14ac:dyDescent="0.3">
      <c r="A30" s="180" t="s">
        <v>249</v>
      </c>
      <c r="B30" s="187">
        <v>0.5</v>
      </c>
      <c r="C30" s="188" t="s">
        <v>130</v>
      </c>
      <c r="D30" s="189" t="s">
        <v>250</v>
      </c>
      <c r="E30" s="189" t="s">
        <v>245</v>
      </c>
      <c r="F30" s="185" t="s">
        <v>246</v>
      </c>
    </row>
    <row r="31" spans="1:6" x14ac:dyDescent="0.3">
      <c r="A31" s="186" t="s">
        <v>239</v>
      </c>
      <c r="B31" s="181"/>
      <c r="C31" s="182"/>
      <c r="D31" s="183"/>
      <c r="E31" s="184"/>
      <c r="F31" s="185" t="s">
        <v>240</v>
      </c>
    </row>
    <row r="32" spans="1:6" x14ac:dyDescent="0.3">
      <c r="A32" s="180" t="s">
        <v>531</v>
      </c>
      <c r="B32" s="187">
        <v>1.17</v>
      </c>
      <c r="C32" s="188" t="s">
        <v>130</v>
      </c>
      <c r="D32" s="189" t="s">
        <v>250</v>
      </c>
      <c r="E32" s="189" t="s">
        <v>245</v>
      </c>
      <c r="F32" s="185" t="s">
        <v>246</v>
      </c>
    </row>
    <row r="33" spans="1:6" x14ac:dyDescent="0.3">
      <c r="A33" s="180" t="s">
        <v>532</v>
      </c>
      <c r="B33" s="187">
        <v>1.94</v>
      </c>
      <c r="C33" s="188" t="s">
        <v>130</v>
      </c>
      <c r="D33" s="189" t="s">
        <v>250</v>
      </c>
      <c r="E33" s="189" t="s">
        <v>245</v>
      </c>
      <c r="F33" s="185" t="s">
        <v>246</v>
      </c>
    </row>
    <row r="34" spans="1:6" x14ac:dyDescent="0.3">
      <c r="A34" s="180" t="s">
        <v>533</v>
      </c>
      <c r="B34" s="187">
        <v>0.2</v>
      </c>
      <c r="C34" s="188" t="s">
        <v>130</v>
      </c>
      <c r="D34" s="189" t="s">
        <v>250</v>
      </c>
      <c r="E34" s="189" t="s">
        <v>245</v>
      </c>
      <c r="F34" s="185" t="s">
        <v>246</v>
      </c>
    </row>
    <row r="35" spans="1:6" ht="22.8" x14ac:dyDescent="0.3">
      <c r="A35" s="180" t="s">
        <v>534</v>
      </c>
      <c r="B35" s="187">
        <v>5</v>
      </c>
      <c r="C35" s="188" t="s">
        <v>130</v>
      </c>
      <c r="D35" s="189" t="s">
        <v>535</v>
      </c>
      <c r="E35" s="189" t="s">
        <v>30</v>
      </c>
      <c r="F35" s="185" t="s">
        <v>536</v>
      </c>
    </row>
    <row r="36" spans="1:6" x14ac:dyDescent="0.3">
      <c r="B36" s="166"/>
      <c r="F36" s="166"/>
    </row>
    <row r="37" spans="1:6" x14ac:dyDescent="0.3">
      <c r="A37" s="270" t="s">
        <v>251</v>
      </c>
      <c r="B37" s="225"/>
      <c r="C37" s="225"/>
      <c r="D37" s="225"/>
      <c r="E37" s="225"/>
      <c r="F37" s="248"/>
    </row>
    <row r="38" spans="1:6" x14ac:dyDescent="0.3">
      <c r="A38" s="167" t="s">
        <v>252</v>
      </c>
      <c r="B38" s="167" t="s">
        <v>213</v>
      </c>
      <c r="C38" s="167" t="s">
        <v>24</v>
      </c>
      <c r="D38" s="167" t="s">
        <v>214</v>
      </c>
      <c r="E38" s="167" t="s">
        <v>215</v>
      </c>
      <c r="F38" s="167" t="s">
        <v>216</v>
      </c>
    </row>
    <row r="39" spans="1:6" x14ac:dyDescent="0.3">
      <c r="A39" s="186" t="s">
        <v>49</v>
      </c>
      <c r="B39" s="190"/>
      <c r="C39" s="191"/>
      <c r="D39" s="191"/>
      <c r="E39" s="192"/>
      <c r="F39" s="179" t="s">
        <v>240</v>
      </c>
    </row>
    <row r="40" spans="1:6" x14ac:dyDescent="0.3">
      <c r="A40" s="180" t="s">
        <v>253</v>
      </c>
      <c r="B40" s="193">
        <v>2351.3000000000002</v>
      </c>
      <c r="C40" s="194" t="s">
        <v>133</v>
      </c>
      <c r="D40" s="180" t="s">
        <v>254</v>
      </c>
      <c r="E40" s="195" t="s">
        <v>219</v>
      </c>
      <c r="F40" s="196" t="s">
        <v>255</v>
      </c>
    </row>
    <row r="41" spans="1:6" x14ac:dyDescent="0.3">
      <c r="A41" s="180" t="s">
        <v>256</v>
      </c>
      <c r="B41" s="193">
        <v>38.799999999999997</v>
      </c>
      <c r="C41" s="194" t="s">
        <v>133</v>
      </c>
      <c r="D41" s="180" t="s">
        <v>254</v>
      </c>
      <c r="E41" s="195" t="s">
        <v>219</v>
      </c>
      <c r="F41" s="196" t="s">
        <v>255</v>
      </c>
    </row>
    <row r="42" spans="1:6" x14ac:dyDescent="0.3">
      <c r="A42" s="180" t="s">
        <v>257</v>
      </c>
      <c r="B42" s="193">
        <v>723</v>
      </c>
      <c r="C42" s="194" t="s">
        <v>133</v>
      </c>
      <c r="D42" s="180" t="s">
        <v>254</v>
      </c>
      <c r="E42" s="195" t="s">
        <v>219</v>
      </c>
      <c r="F42" s="196" t="s">
        <v>255</v>
      </c>
    </row>
    <row r="43" spans="1:6" x14ac:dyDescent="0.3">
      <c r="A43" s="180" t="s">
        <v>258</v>
      </c>
      <c r="B43" s="193">
        <v>1061.0999999999999</v>
      </c>
      <c r="C43" s="194" t="s">
        <v>133</v>
      </c>
      <c r="D43" s="180" t="s">
        <v>254</v>
      </c>
      <c r="E43" s="195" t="s">
        <v>219</v>
      </c>
      <c r="F43" s="196" t="s">
        <v>255</v>
      </c>
    </row>
    <row r="44" spans="1:6" x14ac:dyDescent="0.3">
      <c r="A44" s="180" t="s">
        <v>259</v>
      </c>
      <c r="B44" s="193">
        <v>947</v>
      </c>
      <c r="C44" s="194" t="s">
        <v>133</v>
      </c>
      <c r="D44" s="180" t="s">
        <v>254</v>
      </c>
      <c r="E44" s="195" t="s">
        <v>219</v>
      </c>
      <c r="F44" s="196" t="s">
        <v>255</v>
      </c>
    </row>
    <row r="45" spans="1:6" x14ac:dyDescent="0.3">
      <c r="A45" s="180" t="s">
        <v>260</v>
      </c>
      <c r="B45" s="193">
        <v>191.8</v>
      </c>
      <c r="C45" s="194" t="s">
        <v>133</v>
      </c>
      <c r="D45" s="180" t="s">
        <v>254</v>
      </c>
      <c r="E45" s="195" t="s">
        <v>219</v>
      </c>
      <c r="F45" s="196" t="s">
        <v>255</v>
      </c>
    </row>
    <row r="46" spans="1:6" x14ac:dyDescent="0.3">
      <c r="A46" s="180" t="s">
        <v>261</v>
      </c>
      <c r="B46" s="193">
        <v>56.4</v>
      </c>
      <c r="C46" s="194" t="s">
        <v>133</v>
      </c>
      <c r="D46" s="180" t="s">
        <v>254</v>
      </c>
      <c r="E46" s="195" t="s">
        <v>219</v>
      </c>
      <c r="F46" s="196" t="s">
        <v>255</v>
      </c>
    </row>
    <row r="47" spans="1:6" x14ac:dyDescent="0.3">
      <c r="A47" s="180" t="s">
        <v>262</v>
      </c>
      <c r="B47" s="193">
        <v>3124.7</v>
      </c>
      <c r="C47" s="194" t="s">
        <v>133</v>
      </c>
      <c r="D47" s="180" t="s">
        <v>254</v>
      </c>
      <c r="E47" s="195" t="s">
        <v>219</v>
      </c>
      <c r="F47" s="196" t="s">
        <v>255</v>
      </c>
    </row>
    <row r="48" spans="1:6" x14ac:dyDescent="0.3">
      <c r="A48" s="180" t="s">
        <v>263</v>
      </c>
      <c r="B48" s="193">
        <v>419.1</v>
      </c>
      <c r="C48" s="194" t="s">
        <v>133</v>
      </c>
      <c r="D48" s="180" t="s">
        <v>254</v>
      </c>
      <c r="E48" s="195" t="s">
        <v>219</v>
      </c>
      <c r="F48" s="196" t="s">
        <v>255</v>
      </c>
    </row>
    <row r="49" spans="1:6" x14ac:dyDescent="0.3">
      <c r="A49" s="180" t="s">
        <v>264</v>
      </c>
      <c r="B49" s="193">
        <v>1193.2</v>
      </c>
      <c r="C49" s="194" t="s">
        <v>133</v>
      </c>
      <c r="D49" s="180" t="s">
        <v>254</v>
      </c>
      <c r="E49" s="195" t="s">
        <v>219</v>
      </c>
      <c r="F49" s="196" t="s">
        <v>255</v>
      </c>
    </row>
    <row r="50" spans="1:6" x14ac:dyDescent="0.3">
      <c r="A50" s="180" t="s">
        <v>265</v>
      </c>
      <c r="B50" s="193">
        <v>1245.0999999999999</v>
      </c>
      <c r="C50" s="194" t="s">
        <v>133</v>
      </c>
      <c r="D50" s="180" t="s">
        <v>254</v>
      </c>
      <c r="E50" s="195" t="s">
        <v>219</v>
      </c>
      <c r="F50" s="196" t="s">
        <v>255</v>
      </c>
    </row>
    <row r="51" spans="1:6" x14ac:dyDescent="0.3">
      <c r="A51" s="180" t="s">
        <v>266</v>
      </c>
      <c r="B51" s="193">
        <v>13.3</v>
      </c>
      <c r="C51" s="194" t="s">
        <v>133</v>
      </c>
      <c r="D51" s="180" t="s">
        <v>254</v>
      </c>
      <c r="E51" s="195" t="s">
        <v>219</v>
      </c>
      <c r="F51" s="196" t="s">
        <v>255</v>
      </c>
    </row>
    <row r="52" spans="1:6" x14ac:dyDescent="0.3">
      <c r="A52" s="180" t="s">
        <v>267</v>
      </c>
      <c r="B52" s="193">
        <v>529.70000000000005</v>
      </c>
      <c r="C52" s="194" t="s">
        <v>133</v>
      </c>
      <c r="D52" s="180" t="s">
        <v>254</v>
      </c>
      <c r="E52" s="195" t="s">
        <v>219</v>
      </c>
      <c r="F52" s="196" t="s">
        <v>255</v>
      </c>
    </row>
    <row r="53" spans="1:6" x14ac:dyDescent="0.3">
      <c r="A53" s="180" t="s">
        <v>268</v>
      </c>
      <c r="B53" s="193">
        <v>2425.5</v>
      </c>
      <c r="C53" s="194" t="s">
        <v>133</v>
      </c>
      <c r="D53" s="180" t="s">
        <v>254</v>
      </c>
      <c r="E53" s="195" t="s">
        <v>219</v>
      </c>
      <c r="F53" s="196" t="s">
        <v>255</v>
      </c>
    </row>
    <row r="54" spans="1:6" x14ac:dyDescent="0.3">
      <c r="A54" s="180" t="s">
        <v>269</v>
      </c>
      <c r="B54" s="193">
        <v>53.3</v>
      </c>
      <c r="C54" s="194" t="s">
        <v>133</v>
      </c>
      <c r="D54" s="180" t="s">
        <v>254</v>
      </c>
      <c r="E54" s="195" t="s">
        <v>219</v>
      </c>
      <c r="F54" s="196" t="s">
        <v>255</v>
      </c>
    </row>
    <row r="55" spans="1:6" x14ac:dyDescent="0.3">
      <c r="A55" s="180" t="s">
        <v>270</v>
      </c>
      <c r="B55" s="193">
        <v>217.5</v>
      </c>
      <c r="C55" s="194" t="s">
        <v>133</v>
      </c>
      <c r="D55" s="180" t="s">
        <v>254</v>
      </c>
      <c r="E55" s="195" t="s">
        <v>219</v>
      </c>
      <c r="F55" s="196" t="s">
        <v>255</v>
      </c>
    </row>
    <row r="56" spans="1:6" x14ac:dyDescent="0.3">
      <c r="A56" s="197" t="s">
        <v>271</v>
      </c>
      <c r="B56" s="198">
        <v>1846.6</v>
      </c>
      <c r="C56" s="194" t="s">
        <v>133</v>
      </c>
      <c r="D56" s="197" t="s">
        <v>254</v>
      </c>
      <c r="E56" s="199" t="s">
        <v>219</v>
      </c>
      <c r="F56" s="200" t="s">
        <v>255</v>
      </c>
    </row>
    <row r="57" spans="1:6" x14ac:dyDescent="0.3">
      <c r="A57" s="186" t="s">
        <v>239</v>
      </c>
      <c r="B57" s="190"/>
      <c r="C57" s="191"/>
      <c r="D57" s="191"/>
      <c r="E57" s="192"/>
      <c r="F57" s="185" t="s">
        <v>240</v>
      </c>
    </row>
    <row r="58" spans="1:6" x14ac:dyDescent="0.3">
      <c r="B58" s="166"/>
      <c r="F58" s="166"/>
    </row>
    <row r="59" spans="1:6" x14ac:dyDescent="0.3">
      <c r="A59" s="270" t="s">
        <v>272</v>
      </c>
      <c r="B59" s="225"/>
      <c r="C59" s="225"/>
      <c r="D59" s="225"/>
      <c r="E59" s="225"/>
      <c r="F59" s="248"/>
    </row>
    <row r="60" spans="1:6" x14ac:dyDescent="0.3">
      <c r="A60" s="167" t="s">
        <v>273</v>
      </c>
      <c r="B60" s="167" t="s">
        <v>213</v>
      </c>
      <c r="C60" s="167" t="s">
        <v>24</v>
      </c>
      <c r="D60" s="167" t="s">
        <v>214</v>
      </c>
      <c r="E60" s="167" t="s">
        <v>215</v>
      </c>
      <c r="F60" s="167" t="s">
        <v>216</v>
      </c>
    </row>
    <row r="61" spans="1:6" x14ac:dyDescent="0.3">
      <c r="A61" s="174" t="s">
        <v>49</v>
      </c>
      <c r="B61" s="201"/>
      <c r="C61" s="202"/>
      <c r="D61" s="202"/>
      <c r="E61" s="203"/>
      <c r="F61" s="179" t="s">
        <v>240</v>
      </c>
    </row>
    <row r="62" spans="1:6" ht="34.200000000000003" x14ac:dyDescent="0.3">
      <c r="A62" s="180" t="s">
        <v>274</v>
      </c>
      <c r="B62" s="204">
        <v>6.7000000000000004E-2</v>
      </c>
      <c r="C62" s="188" t="s">
        <v>132</v>
      </c>
      <c r="D62" s="189" t="s">
        <v>275</v>
      </c>
      <c r="E62" s="189" t="s">
        <v>276</v>
      </c>
      <c r="F62" s="185" t="s">
        <v>537</v>
      </c>
    </row>
    <row r="63" spans="1:6" ht="34.200000000000003" x14ac:dyDescent="0.3">
      <c r="A63" s="180" t="s">
        <v>278</v>
      </c>
      <c r="B63" s="204">
        <v>9.4600000000000004E-2</v>
      </c>
      <c r="C63" s="188" t="s">
        <v>132</v>
      </c>
      <c r="D63" s="189" t="s">
        <v>275</v>
      </c>
      <c r="E63" s="189" t="s">
        <v>276</v>
      </c>
      <c r="F63" s="185" t="s">
        <v>537</v>
      </c>
    </row>
    <row r="64" spans="1:6" ht="22.8" x14ac:dyDescent="0.3">
      <c r="A64" s="180" t="s">
        <v>279</v>
      </c>
      <c r="B64" s="204">
        <v>0</v>
      </c>
      <c r="C64" s="188" t="s">
        <v>132</v>
      </c>
      <c r="D64" s="189" t="s">
        <v>157</v>
      </c>
      <c r="E64" s="189" t="s">
        <v>30</v>
      </c>
      <c r="F64" s="185" t="s">
        <v>538</v>
      </c>
    </row>
    <row r="65" spans="1:6" ht="22.8" x14ac:dyDescent="0.3">
      <c r="A65" s="180" t="s">
        <v>280</v>
      </c>
      <c r="B65" s="205" t="s">
        <v>127</v>
      </c>
      <c r="C65" s="188" t="s">
        <v>132</v>
      </c>
      <c r="D65" s="189" t="s">
        <v>281</v>
      </c>
      <c r="E65" s="189" t="s">
        <v>30</v>
      </c>
      <c r="F65" s="185" t="s">
        <v>539</v>
      </c>
    </row>
    <row r="66" spans="1:6" x14ac:dyDescent="0.3">
      <c r="A66" s="186" t="s">
        <v>239</v>
      </c>
      <c r="B66" s="190"/>
      <c r="C66" s="191"/>
      <c r="D66" s="191"/>
      <c r="E66" s="192"/>
      <c r="F66" s="185" t="s">
        <v>240</v>
      </c>
    </row>
    <row r="67" spans="1:6" x14ac:dyDescent="0.3">
      <c r="B67" s="166"/>
      <c r="F67" s="166"/>
    </row>
    <row r="68" spans="1:6" x14ac:dyDescent="0.3">
      <c r="A68" s="274" t="s">
        <v>616</v>
      </c>
      <c r="B68" s="253"/>
      <c r="C68" s="253"/>
      <c r="D68" s="253"/>
      <c r="E68" s="253"/>
      <c r="F68" s="254"/>
    </row>
    <row r="69" spans="1:6" x14ac:dyDescent="0.3">
      <c r="A69" s="13" t="s">
        <v>282</v>
      </c>
      <c r="B69" s="13" t="s">
        <v>617</v>
      </c>
      <c r="C69" s="278" t="s">
        <v>230</v>
      </c>
      <c r="D69" s="279"/>
      <c r="E69" s="167" t="s">
        <v>613</v>
      </c>
      <c r="F69" s="167" t="s">
        <v>614</v>
      </c>
    </row>
    <row r="70" spans="1:6" x14ac:dyDescent="0.3">
      <c r="A70" s="186" t="s">
        <v>49</v>
      </c>
      <c r="B70" s="190"/>
      <c r="C70" s="188" t="s">
        <v>240</v>
      </c>
      <c r="D70" s="189"/>
      <c r="E70" s="203"/>
      <c r="F70" s="202"/>
    </row>
    <row r="71" spans="1:6" x14ac:dyDescent="0.3">
      <c r="A71" s="206" t="s">
        <v>283</v>
      </c>
      <c r="B71" s="207">
        <v>1</v>
      </c>
      <c r="C71" s="188" t="s">
        <v>284</v>
      </c>
      <c r="D71" s="189"/>
      <c r="E71" s="208">
        <v>1</v>
      </c>
      <c r="F71" s="202">
        <v>1</v>
      </c>
    </row>
    <row r="72" spans="1:6" x14ac:dyDescent="0.3">
      <c r="A72" s="206" t="s">
        <v>285</v>
      </c>
      <c r="B72" s="207">
        <v>28</v>
      </c>
      <c r="C72" s="188" t="s">
        <v>284</v>
      </c>
      <c r="D72" s="189"/>
      <c r="E72" s="208">
        <v>25</v>
      </c>
      <c r="F72" s="202">
        <v>28</v>
      </c>
    </row>
    <row r="73" spans="1:6" x14ac:dyDescent="0.3">
      <c r="A73" s="206" t="s">
        <v>286</v>
      </c>
      <c r="B73" s="5">
        <v>265</v>
      </c>
      <c r="C73" s="188" t="s">
        <v>284</v>
      </c>
      <c r="D73" s="189"/>
      <c r="E73" s="208">
        <v>298</v>
      </c>
      <c r="F73" s="202">
        <v>273</v>
      </c>
    </row>
    <row r="74" spans="1:6" x14ac:dyDescent="0.3">
      <c r="A74" s="186" t="s">
        <v>239</v>
      </c>
      <c r="B74" s="190"/>
      <c r="C74" s="188" t="s">
        <v>240</v>
      </c>
      <c r="D74" s="189"/>
      <c r="E74" s="203"/>
      <c r="F74" s="202"/>
    </row>
    <row r="75" spans="1:6" x14ac:dyDescent="0.3">
      <c r="A75" s="280" t="s">
        <v>540</v>
      </c>
      <c r="B75" s="225"/>
      <c r="C75" s="225"/>
      <c r="D75" s="225"/>
      <c r="E75" s="225"/>
      <c r="F75" s="248"/>
    </row>
    <row r="76" spans="1:6" x14ac:dyDescent="0.3">
      <c r="B76" s="166"/>
      <c r="F76" s="166"/>
    </row>
    <row r="77" spans="1:6" x14ac:dyDescent="0.3">
      <c r="A77" s="270" t="s">
        <v>287</v>
      </c>
      <c r="B77" s="225"/>
      <c r="C77" s="225"/>
      <c r="D77" s="225"/>
      <c r="E77" s="225"/>
      <c r="F77" s="248"/>
    </row>
    <row r="78" spans="1:6" x14ac:dyDescent="0.3">
      <c r="A78" s="13" t="s">
        <v>288</v>
      </c>
      <c r="B78" s="13" t="s">
        <v>213</v>
      </c>
      <c r="C78" s="281" t="s">
        <v>289</v>
      </c>
      <c r="D78" s="231"/>
      <c r="E78" s="231"/>
      <c r="F78" s="231"/>
    </row>
    <row r="79" spans="1:6" x14ac:dyDescent="0.3">
      <c r="A79" s="209" t="s">
        <v>290</v>
      </c>
      <c r="B79" s="173">
        <v>3.6</v>
      </c>
      <c r="C79" s="282" t="s">
        <v>291</v>
      </c>
      <c r="D79" s="225"/>
      <c r="E79" s="225"/>
      <c r="F79" s="248"/>
    </row>
    <row r="80" spans="1:6" x14ac:dyDescent="0.3">
      <c r="A80" s="209" t="s">
        <v>290</v>
      </c>
      <c r="B80" s="173">
        <v>1000</v>
      </c>
      <c r="C80" s="282" t="s">
        <v>292</v>
      </c>
      <c r="D80" s="225"/>
      <c r="E80" s="225"/>
      <c r="F80" s="248"/>
    </row>
    <row r="81" spans="1:6" x14ac:dyDescent="0.3">
      <c r="A81" s="209" t="s">
        <v>293</v>
      </c>
      <c r="B81" s="173">
        <v>1000</v>
      </c>
      <c r="C81" s="282" t="s">
        <v>294</v>
      </c>
      <c r="D81" s="225"/>
      <c r="E81" s="225"/>
      <c r="F81" s="248"/>
    </row>
    <row r="82" spans="1:6" x14ac:dyDescent="0.3">
      <c r="A82" s="209" t="s">
        <v>295</v>
      </c>
      <c r="B82" s="173">
        <v>120</v>
      </c>
      <c r="C82" s="282" t="s">
        <v>296</v>
      </c>
      <c r="D82" s="225"/>
      <c r="E82" s="225"/>
      <c r="F82" s="248"/>
    </row>
    <row r="83" spans="1:6" x14ac:dyDescent="0.3">
      <c r="A83" s="209" t="s">
        <v>541</v>
      </c>
      <c r="B83" s="173">
        <v>141.80000000000001</v>
      </c>
      <c r="C83" s="282" t="s">
        <v>542</v>
      </c>
      <c r="D83" s="225"/>
      <c r="E83" s="225"/>
      <c r="F83" s="248"/>
    </row>
    <row r="84" spans="1:6" x14ac:dyDescent="0.3">
      <c r="B84" s="166"/>
      <c r="F84" s="166"/>
    </row>
    <row r="85" spans="1:6" x14ac:dyDescent="0.3">
      <c r="A85" s="270" t="s">
        <v>297</v>
      </c>
      <c r="B85" s="225"/>
      <c r="C85" s="225"/>
      <c r="D85" s="225"/>
      <c r="E85" s="225"/>
      <c r="F85" s="248"/>
    </row>
    <row r="86" spans="1:6" x14ac:dyDescent="0.3">
      <c r="A86" s="11" t="s">
        <v>298</v>
      </c>
      <c r="B86" s="11" t="s">
        <v>23</v>
      </c>
      <c r="C86" s="11" t="s">
        <v>24</v>
      </c>
      <c r="D86" s="283" t="s">
        <v>230</v>
      </c>
      <c r="E86" s="231"/>
      <c r="F86" s="231"/>
    </row>
    <row r="87" spans="1:6" x14ac:dyDescent="0.3">
      <c r="A87" s="210" t="s">
        <v>299</v>
      </c>
      <c r="B87" s="211">
        <v>19.899999999999999</v>
      </c>
      <c r="C87" s="212" t="s">
        <v>300</v>
      </c>
      <c r="D87" s="275" t="s">
        <v>301</v>
      </c>
      <c r="E87" s="276"/>
      <c r="F87" s="277"/>
    </row>
    <row r="88" spans="1:6" x14ac:dyDescent="0.3">
      <c r="A88" s="209" t="s">
        <v>302</v>
      </c>
      <c r="B88" s="173">
        <v>32.042000000000002</v>
      </c>
      <c r="C88" s="194" t="s">
        <v>303</v>
      </c>
      <c r="D88" s="284"/>
      <c r="E88" s="285"/>
      <c r="F88" s="286"/>
    </row>
    <row r="89" spans="1:6" x14ac:dyDescent="0.3">
      <c r="A89" s="209" t="s">
        <v>304</v>
      </c>
      <c r="B89" s="173">
        <v>0.375</v>
      </c>
      <c r="C89" s="194" t="s">
        <v>305</v>
      </c>
      <c r="D89" s="284" t="s">
        <v>306</v>
      </c>
      <c r="E89" s="285"/>
      <c r="F89" s="286"/>
    </row>
    <row r="90" spans="1:6" x14ac:dyDescent="0.3">
      <c r="A90" s="209" t="s">
        <v>307</v>
      </c>
      <c r="B90" s="173">
        <v>0.189</v>
      </c>
      <c r="C90" s="194" t="s">
        <v>308</v>
      </c>
      <c r="D90" s="284" t="s">
        <v>309</v>
      </c>
      <c r="E90" s="285"/>
      <c r="F90" s="286"/>
    </row>
    <row r="91" spans="1:6" x14ac:dyDescent="0.3">
      <c r="A91" s="209" t="s">
        <v>310</v>
      </c>
      <c r="B91" s="173">
        <v>1.373</v>
      </c>
      <c r="C91" s="194" t="s">
        <v>311</v>
      </c>
      <c r="D91" s="284" t="s">
        <v>312</v>
      </c>
      <c r="E91" s="285"/>
      <c r="F91" s="286"/>
    </row>
    <row r="92" spans="1:6" x14ac:dyDescent="0.3">
      <c r="A92" s="209" t="s">
        <v>313</v>
      </c>
      <c r="B92" s="173">
        <v>0.56120000000000003</v>
      </c>
      <c r="C92" s="194" t="s">
        <v>171</v>
      </c>
      <c r="D92" s="284" t="s">
        <v>314</v>
      </c>
      <c r="E92" s="285"/>
      <c r="F92" s="286"/>
    </row>
    <row r="93" spans="1:6" x14ac:dyDescent="0.3">
      <c r="B93" s="166"/>
      <c r="F93" s="166"/>
    </row>
    <row r="94" spans="1:6" x14ac:dyDescent="0.3">
      <c r="A94" s="270" t="s">
        <v>315</v>
      </c>
      <c r="B94" s="225"/>
      <c r="C94" s="225"/>
      <c r="D94" s="225"/>
      <c r="E94" s="225"/>
      <c r="F94" s="248"/>
    </row>
    <row r="95" spans="1:6" x14ac:dyDescent="0.3">
      <c r="A95" s="10" t="s">
        <v>298</v>
      </c>
      <c r="B95" s="10" t="s">
        <v>23</v>
      </c>
      <c r="C95" s="10" t="s">
        <v>24</v>
      </c>
      <c r="D95" s="287" t="s">
        <v>230</v>
      </c>
      <c r="E95" s="287"/>
      <c r="F95" s="287"/>
    </row>
    <row r="96" spans="1:6" x14ac:dyDescent="0.3">
      <c r="A96" s="210" t="s">
        <v>316</v>
      </c>
      <c r="B96" s="211">
        <v>44</v>
      </c>
      <c r="C96" s="212" t="s">
        <v>300</v>
      </c>
      <c r="D96" s="275" t="s">
        <v>317</v>
      </c>
      <c r="E96" s="276"/>
      <c r="F96" s="277"/>
    </row>
    <row r="97" spans="1:6" x14ac:dyDescent="0.3">
      <c r="A97" s="209" t="s">
        <v>318</v>
      </c>
      <c r="B97" s="173">
        <v>0.84699999999999998</v>
      </c>
      <c r="C97" s="194" t="s">
        <v>319</v>
      </c>
      <c r="D97" s="284" t="s">
        <v>320</v>
      </c>
      <c r="E97" s="285"/>
      <c r="F97" s="286"/>
    </row>
    <row r="98" spans="1:6" x14ac:dyDescent="0.3">
      <c r="A98" s="209" t="s">
        <v>321</v>
      </c>
      <c r="B98" s="173">
        <v>0.435</v>
      </c>
      <c r="C98" s="194" t="s">
        <v>322</v>
      </c>
      <c r="D98" s="284" t="s">
        <v>323</v>
      </c>
      <c r="E98" s="285"/>
      <c r="F98" s="286"/>
    </row>
    <row r="99" spans="1:6" x14ac:dyDescent="0.3">
      <c r="A99" s="209" t="s">
        <v>324</v>
      </c>
      <c r="B99" s="173">
        <v>3.13</v>
      </c>
      <c r="C99" s="194" t="s">
        <v>325</v>
      </c>
      <c r="D99" s="284"/>
      <c r="E99" s="285"/>
      <c r="F99" s="286"/>
    </row>
    <row r="100" spans="1:6" x14ac:dyDescent="0.3">
      <c r="A100" s="209" t="s">
        <v>326</v>
      </c>
      <c r="B100" s="173">
        <v>1.38</v>
      </c>
      <c r="C100" s="194" t="s">
        <v>327</v>
      </c>
      <c r="D100" s="284" t="s">
        <v>328</v>
      </c>
      <c r="E100" s="285"/>
      <c r="F100" s="286"/>
    </row>
    <row r="101" spans="1:6" x14ac:dyDescent="0.3">
      <c r="A101" s="209" t="s">
        <v>329</v>
      </c>
      <c r="B101" s="173">
        <v>0.26100000000000001</v>
      </c>
      <c r="C101" s="194" t="s">
        <v>322</v>
      </c>
      <c r="D101" s="284" t="s">
        <v>330</v>
      </c>
      <c r="E101" s="285"/>
      <c r="F101" s="286"/>
    </row>
    <row r="102" spans="1:6" x14ac:dyDescent="0.3">
      <c r="A102" s="209" t="s">
        <v>331</v>
      </c>
      <c r="B102" s="173">
        <v>1.895</v>
      </c>
      <c r="C102" s="194" t="s">
        <v>325</v>
      </c>
      <c r="D102" s="284" t="s">
        <v>332</v>
      </c>
      <c r="E102" s="285"/>
      <c r="F102" s="286"/>
    </row>
    <row r="103" spans="1:6" x14ac:dyDescent="0.3">
      <c r="A103" s="209" t="s">
        <v>333</v>
      </c>
      <c r="B103" s="173">
        <v>1.2407999999999999</v>
      </c>
      <c r="C103" s="194" t="s">
        <v>187</v>
      </c>
      <c r="D103" s="284" t="s">
        <v>334</v>
      </c>
      <c r="E103" s="285"/>
      <c r="F103" s="286"/>
    </row>
    <row r="104" spans="1:6" x14ac:dyDescent="0.3">
      <c r="A104" s="209" t="s">
        <v>335</v>
      </c>
      <c r="B104" s="173">
        <v>3.5244</v>
      </c>
      <c r="C104" s="194" t="s">
        <v>187</v>
      </c>
      <c r="D104" s="284" t="s">
        <v>336</v>
      </c>
      <c r="E104" s="285"/>
      <c r="F104" s="286"/>
    </row>
    <row r="105" spans="1:6" x14ac:dyDescent="0.3">
      <c r="B105" s="166"/>
      <c r="F105" s="166"/>
    </row>
    <row r="106" spans="1:6" x14ac:dyDescent="0.3">
      <c r="A106" s="270" t="s">
        <v>337</v>
      </c>
      <c r="B106" s="225"/>
      <c r="C106" s="225"/>
      <c r="D106" s="225"/>
      <c r="E106" s="225"/>
      <c r="F106" s="248"/>
    </row>
    <row r="107" spans="1:6" x14ac:dyDescent="0.3">
      <c r="A107" s="10" t="s">
        <v>338</v>
      </c>
      <c r="B107" s="10" t="s">
        <v>339</v>
      </c>
      <c r="C107" s="10" t="s">
        <v>24</v>
      </c>
      <c r="D107" s="287" t="s">
        <v>230</v>
      </c>
      <c r="E107" s="287"/>
      <c r="F107" s="287"/>
    </row>
    <row r="108" spans="1:6" x14ac:dyDescent="0.3">
      <c r="A108" s="210" t="s">
        <v>340</v>
      </c>
      <c r="B108" s="211" t="s">
        <v>341</v>
      </c>
      <c r="C108" s="212" t="s">
        <v>342</v>
      </c>
      <c r="D108" s="275" t="s">
        <v>343</v>
      </c>
      <c r="E108" s="276"/>
      <c r="F108" s="277"/>
    </row>
    <row r="109" spans="1:6" x14ac:dyDescent="0.3">
      <c r="A109" s="209" t="s">
        <v>344</v>
      </c>
      <c r="B109" s="173" t="s">
        <v>345</v>
      </c>
      <c r="C109" s="194" t="s">
        <v>342</v>
      </c>
      <c r="D109" s="284" t="s">
        <v>346</v>
      </c>
      <c r="E109" s="285"/>
      <c r="F109" s="286"/>
    </row>
    <row r="110" spans="1:6" x14ac:dyDescent="0.3">
      <c r="A110" s="209" t="s">
        <v>347</v>
      </c>
      <c r="B110" s="173" t="s">
        <v>348</v>
      </c>
      <c r="C110" s="194" t="s">
        <v>342</v>
      </c>
      <c r="D110" s="284" t="s">
        <v>346</v>
      </c>
      <c r="E110" s="285"/>
      <c r="F110" s="286"/>
    </row>
    <row r="111" spans="1:6" x14ac:dyDescent="0.3">
      <c r="B111" s="166"/>
      <c r="F111" s="166"/>
    </row>
    <row r="112" spans="1:6" x14ac:dyDescent="0.3">
      <c r="A112" s="270" t="s">
        <v>349</v>
      </c>
      <c r="B112" s="225"/>
      <c r="C112" s="225"/>
      <c r="D112" s="225"/>
      <c r="E112" s="225"/>
      <c r="F112" s="248"/>
    </row>
    <row r="113" spans="1:6" ht="28.8" x14ac:dyDescent="0.3">
      <c r="A113" s="10" t="s">
        <v>63</v>
      </c>
      <c r="B113" s="167" t="s">
        <v>350</v>
      </c>
      <c r="C113" s="10" t="s">
        <v>24</v>
      </c>
      <c r="D113" s="10" t="s">
        <v>351</v>
      </c>
      <c r="E113" s="10" t="s">
        <v>352</v>
      </c>
      <c r="F113" s="10" t="s">
        <v>353</v>
      </c>
    </row>
    <row r="114" spans="1:6" ht="22.8" x14ac:dyDescent="0.3">
      <c r="A114" s="210" t="s">
        <v>354</v>
      </c>
      <c r="B114" s="211">
        <v>0.05</v>
      </c>
      <c r="C114" s="212" t="s">
        <v>65</v>
      </c>
      <c r="D114" s="211">
        <v>0.03</v>
      </c>
      <c r="E114" s="211">
        <v>1</v>
      </c>
      <c r="F114" s="213" t="s">
        <v>355</v>
      </c>
    </row>
    <row r="115" spans="1:6" ht="22.8" x14ac:dyDescent="0.3">
      <c r="A115" s="210" t="s">
        <v>64</v>
      </c>
      <c r="B115" s="211">
        <v>0.15</v>
      </c>
      <c r="C115" s="212" t="s">
        <v>65</v>
      </c>
      <c r="D115" s="211">
        <v>0.02</v>
      </c>
      <c r="E115" s="211">
        <v>1</v>
      </c>
      <c r="F115" s="213" t="s">
        <v>356</v>
      </c>
    </row>
    <row r="116" spans="1:6" x14ac:dyDescent="0.3">
      <c r="A116" s="210" t="s">
        <v>357</v>
      </c>
      <c r="B116" s="211">
        <v>0.1</v>
      </c>
      <c r="C116" s="212" t="s">
        <v>65</v>
      </c>
      <c r="D116" s="211">
        <v>0.03</v>
      </c>
      <c r="E116" s="211">
        <v>0</v>
      </c>
      <c r="F116" s="213" t="s">
        <v>358</v>
      </c>
    </row>
    <row r="117" spans="1:6" ht="22.8" x14ac:dyDescent="0.3">
      <c r="A117" s="210" t="s">
        <v>359</v>
      </c>
      <c r="B117" s="211">
        <v>0.08</v>
      </c>
      <c r="C117" s="212" t="s">
        <v>65</v>
      </c>
      <c r="D117" s="211">
        <v>0.03</v>
      </c>
      <c r="E117" s="211">
        <v>1</v>
      </c>
      <c r="F117" s="213" t="s">
        <v>360</v>
      </c>
    </row>
    <row r="118" spans="1:6" x14ac:dyDescent="0.3">
      <c r="B118" s="166"/>
      <c r="F118" s="166"/>
    </row>
    <row r="119" spans="1:6" x14ac:dyDescent="0.3">
      <c r="A119" s="270" t="s">
        <v>361</v>
      </c>
      <c r="B119" s="225"/>
      <c r="C119" s="225"/>
      <c r="D119" s="225"/>
      <c r="E119" s="225"/>
      <c r="F119" s="248"/>
    </row>
    <row r="120" spans="1:6" ht="28.8" x14ac:dyDescent="0.3">
      <c r="A120" s="10" t="s">
        <v>362</v>
      </c>
      <c r="B120" s="167" t="s">
        <v>504</v>
      </c>
      <c r="C120" s="10" t="s">
        <v>503</v>
      </c>
      <c r="D120" s="288" t="s">
        <v>230</v>
      </c>
      <c r="E120" s="289"/>
      <c r="F120" s="290"/>
    </row>
    <row r="121" spans="1:6" x14ac:dyDescent="0.3">
      <c r="A121" s="210" t="s">
        <v>505</v>
      </c>
      <c r="B121" s="211">
        <v>1E-3</v>
      </c>
      <c r="C121" s="214">
        <v>3.0000000000000001E-3</v>
      </c>
      <c r="D121" s="275"/>
      <c r="E121" s="276"/>
      <c r="F121" s="277"/>
    </row>
    <row r="122" spans="1:6" ht="28.8" x14ac:dyDescent="0.3">
      <c r="A122" s="10" t="s">
        <v>362</v>
      </c>
      <c r="B122" s="167" t="s">
        <v>549</v>
      </c>
      <c r="C122" s="10" t="s">
        <v>550</v>
      </c>
      <c r="D122" s="288" t="s">
        <v>230</v>
      </c>
      <c r="E122" s="289"/>
      <c r="F122" s="290"/>
    </row>
    <row r="123" spans="1:6" x14ac:dyDescent="0.3">
      <c r="A123" s="210" t="s">
        <v>505</v>
      </c>
      <c r="B123" s="215">
        <f>B121/3.6</f>
        <v>2.7777777777777778E-4</v>
      </c>
      <c r="C123" s="215">
        <f>C121/3.6</f>
        <v>8.3333333333333328E-4</v>
      </c>
      <c r="D123" s="275"/>
      <c r="E123" s="276"/>
      <c r="F123" s="277"/>
    </row>
    <row r="124" spans="1:6" x14ac:dyDescent="0.3">
      <c r="B124" s="166"/>
      <c r="F124" s="166"/>
    </row>
    <row r="125" spans="1:6" x14ac:dyDescent="0.3">
      <c r="A125" s="270" t="s">
        <v>363</v>
      </c>
      <c r="B125" s="225"/>
      <c r="C125" s="225"/>
      <c r="D125" s="225"/>
      <c r="E125" s="225"/>
      <c r="F125" s="248"/>
    </row>
    <row r="126" spans="1:6" x14ac:dyDescent="0.3">
      <c r="A126" s="10" t="s">
        <v>22</v>
      </c>
      <c r="B126" s="167" t="s">
        <v>23</v>
      </c>
      <c r="C126" s="10" t="s">
        <v>24</v>
      </c>
      <c r="D126" s="288" t="s">
        <v>230</v>
      </c>
      <c r="E126" s="289"/>
      <c r="F126" s="290"/>
    </row>
    <row r="127" spans="1:6" x14ac:dyDescent="0.3">
      <c r="A127" s="210" t="s">
        <v>364</v>
      </c>
      <c r="B127" s="211">
        <v>93.3</v>
      </c>
      <c r="C127" s="212" t="s">
        <v>131</v>
      </c>
      <c r="D127" s="275" t="s">
        <v>173</v>
      </c>
      <c r="E127" s="276"/>
      <c r="F127" s="277"/>
    </row>
    <row r="128" spans="1:6" x14ac:dyDescent="0.3">
      <c r="B128" s="166"/>
      <c r="F128" s="166"/>
    </row>
    <row r="129" spans="1:6" x14ac:dyDescent="0.3">
      <c r="A129" s="270" t="s">
        <v>365</v>
      </c>
      <c r="B129" s="225"/>
      <c r="C129" s="225"/>
      <c r="D129" s="225"/>
      <c r="E129" s="225"/>
      <c r="F129" s="248"/>
    </row>
    <row r="130" spans="1:6" ht="28.8" x14ac:dyDescent="0.3">
      <c r="A130" s="10" t="s">
        <v>366</v>
      </c>
      <c r="B130" s="167" t="s">
        <v>367</v>
      </c>
      <c r="C130" s="10" t="s">
        <v>24</v>
      </c>
      <c r="D130" s="288" t="s">
        <v>230</v>
      </c>
      <c r="E130" s="289"/>
      <c r="F130" s="290"/>
    </row>
    <row r="131" spans="1:6" x14ac:dyDescent="0.3">
      <c r="A131" s="210" t="s">
        <v>188</v>
      </c>
      <c r="B131" s="211">
        <v>89</v>
      </c>
      <c r="C131" s="212" t="s">
        <v>131</v>
      </c>
      <c r="D131" s="275" t="s">
        <v>189</v>
      </c>
      <c r="E131" s="276"/>
      <c r="F131" s="277"/>
    </row>
    <row r="132" spans="1:6" x14ac:dyDescent="0.3">
      <c r="A132" s="210" t="s">
        <v>368</v>
      </c>
      <c r="B132" s="211">
        <v>0.1</v>
      </c>
      <c r="C132" s="212" t="s">
        <v>369</v>
      </c>
      <c r="D132" s="275" t="s">
        <v>370</v>
      </c>
      <c r="E132" s="276"/>
      <c r="F132" s="277"/>
    </row>
    <row r="133" spans="1:6" x14ac:dyDescent="0.3">
      <c r="B133" s="166"/>
      <c r="F133" s="166"/>
    </row>
    <row r="134" spans="1:6" x14ac:dyDescent="0.3">
      <c r="A134" s="271" t="s">
        <v>371</v>
      </c>
      <c r="B134" s="272"/>
      <c r="C134" s="272"/>
      <c r="D134" s="272"/>
      <c r="E134" s="272"/>
      <c r="F134" s="273"/>
    </row>
    <row r="135" spans="1:6" x14ac:dyDescent="0.3">
      <c r="A135" s="216" t="s">
        <v>372</v>
      </c>
      <c r="B135" s="216" t="s">
        <v>373</v>
      </c>
      <c r="C135" s="216" t="s">
        <v>374</v>
      </c>
      <c r="D135" s="216" t="s">
        <v>375</v>
      </c>
      <c r="E135" s="216" t="s">
        <v>376</v>
      </c>
      <c r="F135" s="216" t="s">
        <v>216</v>
      </c>
    </row>
    <row r="136" spans="1:6" ht="26.4" x14ac:dyDescent="0.3">
      <c r="A136" s="168" t="s">
        <v>377</v>
      </c>
      <c r="B136" s="217" t="s">
        <v>219</v>
      </c>
      <c r="C136" s="168" t="s">
        <v>378</v>
      </c>
      <c r="D136" s="168" t="s">
        <v>379</v>
      </c>
      <c r="E136" s="168" t="s">
        <v>380</v>
      </c>
      <c r="F136" s="213" t="s">
        <v>255</v>
      </c>
    </row>
    <row r="137" spans="1:6" ht="26.4" x14ac:dyDescent="0.3">
      <c r="A137" s="168" t="s">
        <v>381</v>
      </c>
      <c r="B137" s="217" t="s">
        <v>219</v>
      </c>
      <c r="C137" s="168" t="s">
        <v>382</v>
      </c>
      <c r="D137" s="168" t="s">
        <v>379</v>
      </c>
      <c r="E137" s="168" t="s">
        <v>380</v>
      </c>
      <c r="F137" s="213" t="s">
        <v>383</v>
      </c>
    </row>
    <row r="138" spans="1:6" ht="26.4" x14ac:dyDescent="0.3">
      <c r="A138" s="168" t="s">
        <v>384</v>
      </c>
      <c r="B138" s="217" t="s">
        <v>385</v>
      </c>
      <c r="C138" s="168" t="s">
        <v>386</v>
      </c>
      <c r="D138" s="168" t="s">
        <v>387</v>
      </c>
      <c r="E138" s="168" t="s">
        <v>380</v>
      </c>
      <c r="F138" s="213" t="s">
        <v>388</v>
      </c>
    </row>
    <row r="139" spans="1:6" x14ac:dyDescent="0.3">
      <c r="A139" s="168" t="s">
        <v>389</v>
      </c>
      <c r="B139" s="217" t="s">
        <v>390</v>
      </c>
      <c r="C139" s="168" t="s">
        <v>391</v>
      </c>
      <c r="D139" s="168" t="s">
        <v>387</v>
      </c>
      <c r="E139" s="168" t="s">
        <v>380</v>
      </c>
      <c r="F139" s="213" t="s">
        <v>392</v>
      </c>
    </row>
    <row r="140" spans="1:6" x14ac:dyDescent="0.3">
      <c r="A140" s="168" t="s">
        <v>393</v>
      </c>
      <c r="B140" s="217" t="s">
        <v>394</v>
      </c>
      <c r="C140" s="168" t="s">
        <v>395</v>
      </c>
      <c r="D140" s="168" t="s">
        <v>200</v>
      </c>
      <c r="E140" s="168" t="s">
        <v>380</v>
      </c>
      <c r="F140" s="213" t="s">
        <v>396</v>
      </c>
    </row>
    <row r="141" spans="1:6" ht="26.4" x14ac:dyDescent="0.3">
      <c r="A141" s="168" t="s">
        <v>397</v>
      </c>
      <c r="B141" s="217" t="s">
        <v>398</v>
      </c>
      <c r="C141" s="168" t="s">
        <v>399</v>
      </c>
      <c r="D141" s="168" t="s">
        <v>200</v>
      </c>
      <c r="E141" s="168" t="s">
        <v>400</v>
      </c>
      <c r="F141" s="213" t="s">
        <v>396</v>
      </c>
    </row>
    <row r="142" spans="1:6" x14ac:dyDescent="0.3">
      <c r="A142" s="168" t="s">
        <v>401</v>
      </c>
      <c r="B142" s="217" t="s">
        <v>398</v>
      </c>
      <c r="C142" s="168" t="s">
        <v>395</v>
      </c>
      <c r="D142" s="168" t="s">
        <v>402</v>
      </c>
      <c r="E142" s="168" t="s">
        <v>403</v>
      </c>
      <c r="F142" s="213" t="s">
        <v>404</v>
      </c>
    </row>
    <row r="143" spans="1:6" x14ac:dyDescent="0.3">
      <c r="A143" s="168" t="s">
        <v>405</v>
      </c>
      <c r="B143" s="217" t="s">
        <v>406</v>
      </c>
      <c r="C143" s="168" t="s">
        <v>407</v>
      </c>
      <c r="D143" s="168" t="s">
        <v>408</v>
      </c>
      <c r="E143" s="168" t="s">
        <v>380</v>
      </c>
      <c r="F143" s="213" t="s">
        <v>409</v>
      </c>
    </row>
    <row r="144" spans="1:6" x14ac:dyDescent="0.3">
      <c r="A144" s="168" t="s">
        <v>410</v>
      </c>
      <c r="B144" s="217" t="s">
        <v>411</v>
      </c>
      <c r="C144" s="168" t="s">
        <v>395</v>
      </c>
      <c r="D144" s="168" t="s">
        <v>408</v>
      </c>
      <c r="E144" s="168" t="s">
        <v>380</v>
      </c>
      <c r="F144" s="213" t="s">
        <v>409</v>
      </c>
    </row>
    <row r="145" spans="1:6" x14ac:dyDescent="0.3">
      <c r="A145" s="168" t="s">
        <v>412</v>
      </c>
      <c r="B145" s="217" t="s">
        <v>411</v>
      </c>
      <c r="C145" s="168" t="s">
        <v>413</v>
      </c>
      <c r="D145" s="168" t="s">
        <v>408</v>
      </c>
      <c r="E145" s="168" t="s">
        <v>380</v>
      </c>
      <c r="F145" s="213" t="s">
        <v>409</v>
      </c>
    </row>
    <row r="146" spans="1:6" x14ac:dyDescent="0.3">
      <c r="A146" s="168" t="s">
        <v>414</v>
      </c>
      <c r="B146" s="217" t="s">
        <v>398</v>
      </c>
      <c r="C146" s="168" t="s">
        <v>395</v>
      </c>
      <c r="D146" s="168" t="s">
        <v>408</v>
      </c>
      <c r="E146" s="168" t="s">
        <v>403</v>
      </c>
      <c r="F146" s="213" t="s">
        <v>415</v>
      </c>
    </row>
    <row r="147" spans="1:6" ht="39.6" x14ac:dyDescent="0.3">
      <c r="A147" s="168" t="s">
        <v>416</v>
      </c>
      <c r="B147" s="217" t="s">
        <v>417</v>
      </c>
      <c r="C147" s="168" t="s">
        <v>418</v>
      </c>
      <c r="D147" s="168" t="s">
        <v>419</v>
      </c>
      <c r="E147" s="168" t="s">
        <v>420</v>
      </c>
      <c r="F147" s="213" t="s">
        <v>421</v>
      </c>
    </row>
    <row r="148" spans="1:6" x14ac:dyDescent="0.3">
      <c r="A148" s="168" t="s">
        <v>422</v>
      </c>
      <c r="B148" s="217" t="s">
        <v>423</v>
      </c>
      <c r="C148" s="168" t="s">
        <v>424</v>
      </c>
      <c r="D148" s="168" t="s">
        <v>425</v>
      </c>
      <c r="E148" s="168" t="s">
        <v>403</v>
      </c>
      <c r="F148" s="213" t="s">
        <v>426</v>
      </c>
    </row>
    <row r="149" spans="1:6" ht="26.4" x14ac:dyDescent="0.3">
      <c r="A149" s="168" t="s">
        <v>427</v>
      </c>
      <c r="B149" s="217" t="s">
        <v>428</v>
      </c>
      <c r="C149" s="168" t="s">
        <v>429</v>
      </c>
      <c r="D149" s="168" t="s">
        <v>425</v>
      </c>
      <c r="E149" s="168" t="s">
        <v>403</v>
      </c>
      <c r="F149" s="213" t="s">
        <v>277</v>
      </c>
    </row>
    <row r="150" spans="1:6" x14ac:dyDescent="0.3">
      <c r="A150" s="168" t="s">
        <v>430</v>
      </c>
      <c r="B150" s="217" t="s">
        <v>431</v>
      </c>
      <c r="C150" s="168" t="s">
        <v>432</v>
      </c>
      <c r="D150" s="168" t="s">
        <v>433</v>
      </c>
      <c r="E150" s="168" t="s">
        <v>403</v>
      </c>
      <c r="F150" s="213" t="s">
        <v>246</v>
      </c>
    </row>
    <row r="151" spans="1:6" x14ac:dyDescent="0.3">
      <c r="A151"/>
      <c r="B151"/>
      <c r="C151"/>
      <c r="D151"/>
      <c r="E151"/>
      <c r="F151"/>
    </row>
  </sheetData>
  <sheetProtection sheet="1" formatCells="0" formatColumns="0" formatRows="0" sort="0" autoFilter="0" pivotTables="0"/>
  <mergeCells count="54">
    <mergeCell ref="D131:F131"/>
    <mergeCell ref="D132:F132"/>
    <mergeCell ref="D126:F126"/>
    <mergeCell ref="D130:F130"/>
    <mergeCell ref="D121:F121"/>
    <mergeCell ref="D127:F127"/>
    <mergeCell ref="D122:F122"/>
    <mergeCell ref="D107:F107"/>
    <mergeCell ref="D108:F108"/>
    <mergeCell ref="D109:F109"/>
    <mergeCell ref="D110:F110"/>
    <mergeCell ref="D120:F120"/>
    <mergeCell ref="D100:F100"/>
    <mergeCell ref="D101:F101"/>
    <mergeCell ref="D102:F102"/>
    <mergeCell ref="D103:F103"/>
    <mergeCell ref="D104:F104"/>
    <mergeCell ref="D96:F96"/>
    <mergeCell ref="D95:F95"/>
    <mergeCell ref="D97:F97"/>
    <mergeCell ref="D98:F98"/>
    <mergeCell ref="D99:F99"/>
    <mergeCell ref="D88:F88"/>
    <mergeCell ref="D89:F89"/>
    <mergeCell ref="D90:F90"/>
    <mergeCell ref="D91:F91"/>
    <mergeCell ref="D92:F92"/>
    <mergeCell ref="C81:F81"/>
    <mergeCell ref="C82:F82"/>
    <mergeCell ref="C83:F83"/>
    <mergeCell ref="D86:F86"/>
    <mergeCell ref="D87:F87"/>
    <mergeCell ref="A85:F85"/>
    <mergeCell ref="C69:D69"/>
    <mergeCell ref="A75:F75"/>
    <mergeCell ref="C78:F78"/>
    <mergeCell ref="C79:F79"/>
    <mergeCell ref="C80:F80"/>
    <mergeCell ref="A106:F106"/>
    <mergeCell ref="A129:F129"/>
    <mergeCell ref="A134:F134"/>
    <mergeCell ref="A1:F1"/>
    <mergeCell ref="A37:F37"/>
    <mergeCell ref="A112:F112"/>
    <mergeCell ref="A3:F3"/>
    <mergeCell ref="A125:F125"/>
    <mergeCell ref="A119:F119"/>
    <mergeCell ref="A94:F94"/>
    <mergeCell ref="A25:F25"/>
    <mergeCell ref="A59:F59"/>
    <mergeCell ref="A12:F12"/>
    <mergeCell ref="A68:F68"/>
    <mergeCell ref="A77:F77"/>
    <mergeCell ref="D123:F12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Project Data</vt:lpstr>
      <vt:lpstr>EU RFNBO</vt:lpstr>
      <vt:lpstr>IMO</vt:lpstr>
      <vt:lpstr>CORSIA</vt:lpstr>
      <vt:lpstr>Results</vt:lpstr>
      <vt:lpstr>Emission Factors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Sven Feige</cp:lastModifiedBy>
  <dcterms:created xsi:type="dcterms:W3CDTF">2026-09-17T21:43:24Z</dcterms:created>
  <dcterms:modified xsi:type="dcterms:W3CDTF">2026-11-03T12:21:31Z</dcterms:modified>
</cp:coreProperties>
</file>